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820" windowHeight="9255" firstSheet="1" activeTab="1"/>
  </bookViews>
  <sheets>
    <sheet name="Cost Data" sheetId="1" r:id="rId1"/>
    <sheet name="Jacking beam design" sheetId="2" r:id="rId2"/>
    <sheet name="Service Beam Design" sheetId="3" r:id="rId3"/>
    <sheet name="Ultimate Beam Design" sheetId="4" r:id="rId4"/>
    <sheet name="Slab Design" sheetId="5" r:id="rId5"/>
  </sheets>
  <definedNames>
    <definedName name="_a1" localSheetId="1">'Jacking beam design'!$F$215</definedName>
    <definedName name="_a1">'Service Beam Design'!$F$215</definedName>
    <definedName name="_a11">'Ultimate Beam Design'!$H$126</definedName>
    <definedName name="_a2" localSheetId="1">'Jacking beam design'!$F$216</definedName>
    <definedName name="_a2">'Service Beam Design'!$F$216</definedName>
    <definedName name="_a22">'Ultimate Beam Design'!$H$127</definedName>
    <definedName name="_a3" localSheetId="1">'Jacking beam design'!$F$217</definedName>
    <definedName name="_a3">'Service Beam Design'!$F$217</definedName>
    <definedName name="_a33">'Ultimate Beam Design'!$H$128</definedName>
    <definedName name="_a4" localSheetId="1">'Jacking beam design'!$F$218</definedName>
    <definedName name="_a4">'Service Beam Design'!$F$218</definedName>
    <definedName name="_a44">'Ultimate Beam Design'!$H$129</definedName>
    <definedName name="_f1" localSheetId="1">'Jacking beam design'!$F$214</definedName>
    <definedName name="_f1">'Service Beam Design'!$F$214</definedName>
    <definedName name="_f11">'Ultimate Beam Design'!$H$125</definedName>
    <definedName name="_f2" localSheetId="1">'Jacking beam design'!$F$213</definedName>
    <definedName name="_f2">'Service Beam Design'!$F$213</definedName>
    <definedName name="_f22">'Ultimate Beam Design'!$H$124</definedName>
    <definedName name="_l1">'Ultimate Beam Design'!$A$8</definedName>
    <definedName name="_l2">'Ultimate Beam Design'!$B$8</definedName>
    <definedName name="_l3">'Ultimate Beam Design'!$C$8</definedName>
    <definedName name="_p1" localSheetId="1">'Jacking beam design'!$F$224</definedName>
    <definedName name="_p1">'Service Beam Design'!$F$224</definedName>
    <definedName name="_p11">'Ultimate Beam Design'!$H$135</definedName>
    <definedName name="_p2" localSheetId="1">'Jacking beam design'!$F$223</definedName>
    <definedName name="_p2">'Service Beam Design'!$F$223</definedName>
    <definedName name="_p22">'Ultimate Beam Design'!$H$134</definedName>
    <definedName name="_p3" localSheetId="1">'Jacking beam design'!$F$222</definedName>
    <definedName name="_p3">'Service Beam Design'!$F$222</definedName>
    <definedName name="_p33">'Ultimate Beam Design'!$H$133</definedName>
    <definedName name="_w1" localSheetId="1">'Jacking beam design'!$C$267</definedName>
    <definedName name="_w1">'Service Beam Design'!$C$267</definedName>
    <definedName name="_y" localSheetId="1">'Jacking beam design'!$F$219</definedName>
    <definedName name="_y">'Service Beam Design'!$F$219</definedName>
    <definedName name="_yy">'Ultimate Beam Design'!$H$130</definedName>
    <definedName name="a" localSheetId="1">'Jacking beam design'!$D$78</definedName>
    <definedName name="a">'Service Beam Design'!$D$78</definedName>
    <definedName name="astrand" localSheetId="1">'Jacking beam design'!$D$37</definedName>
    <definedName name="astrand">'Service Beam Design'!$D$37</definedName>
    <definedName name="at" localSheetId="1">'Jacking beam design'!$D$107</definedName>
    <definedName name="at">'Service Beam Design'!$D$107</definedName>
    <definedName name="atotal" localSheetId="1">'Jacking beam design'!$J$80</definedName>
    <definedName name="atotal">'Service Beam Design'!$J$80</definedName>
    <definedName name="b" localSheetId="1">'Jacking beam design'!$D$76</definedName>
    <definedName name="b">'Service Beam Design'!$D$76</definedName>
    <definedName name="bslab" localSheetId="1">'Jacking beam design'!$D$59</definedName>
    <definedName name="bslab">'Service Beam Design'!$D$59</definedName>
    <definedName name="cw" localSheetId="1">'Jacking beam design'!$C$28</definedName>
    <definedName name="cw">'Service Beam Design'!$C$28</definedName>
    <definedName name="density" localSheetId="1">'Jacking beam design'!$C$28</definedName>
    <definedName name="density">'Service Beam Design'!$C$28</definedName>
    <definedName name="dlbeam" localSheetId="1">'Jacking beam design'!$L$52</definedName>
    <definedName name="dlbeam">'Service Beam Design'!$L$52</definedName>
    <definedName name="dlslab" localSheetId="1">'Jacking beam design'!$L$51</definedName>
    <definedName name="dlslab">'Service Beam Design'!$L$51</definedName>
    <definedName name="epl" localSheetId="1">'Jacking beam design'!$E$39</definedName>
    <definedName name="epl">'Service Beam Design'!$E$39</definedName>
    <definedName name="f_1" localSheetId="1">'Jacking beam design'!$B$192</definedName>
    <definedName name="f_1">'Service Beam Design'!$B$192</definedName>
    <definedName name="f_11" localSheetId="1">'Jacking beam design'!$A$270</definedName>
    <definedName name="f_11">'Service Beam Design'!$A$270</definedName>
    <definedName name="f_111" localSheetId="1">'Jacking beam design'!$B$300</definedName>
    <definedName name="f_111">'Service Beam Design'!$B$300</definedName>
    <definedName name="f_2" localSheetId="1">'Jacking beam design'!$C$192</definedName>
    <definedName name="f_2">'Service Beam Design'!$C$192</definedName>
    <definedName name="f_22" localSheetId="1">'Jacking beam design'!$B$270</definedName>
    <definedName name="f_22">'Service Beam Design'!$B$270</definedName>
    <definedName name="f_222" localSheetId="1">'Jacking beam design'!$C$300</definedName>
    <definedName name="f_222">'Service Beam Design'!$C$300</definedName>
    <definedName name="f_3" localSheetId="1">'Jacking beam design'!$D$192</definedName>
    <definedName name="f_3">'Service Beam Design'!$D$192</definedName>
    <definedName name="f_33" localSheetId="1">'Jacking beam design'!$C$270</definedName>
    <definedName name="f_33">'Service Beam Design'!$C$270</definedName>
    <definedName name="f_333" localSheetId="1">'Jacking beam design'!$D$300</definedName>
    <definedName name="f_333">'Service Beam Design'!$D$300</definedName>
    <definedName name="f_4" localSheetId="1">'Jacking beam design'!$E$192</definedName>
    <definedName name="f_4">'Service Beam Design'!$E$192</definedName>
    <definedName name="f_44" localSheetId="1">'Jacking beam design'!$D$270</definedName>
    <definedName name="f_44">'Service Beam Design'!$D$270</definedName>
    <definedName name="f_444" localSheetId="1">'Jacking beam design'!$E$300</definedName>
    <definedName name="f_444">'Service Beam Design'!$E$300</definedName>
    <definedName name="f1dead">'Ultimate Beam Design'!$B$101</definedName>
    <definedName name="f1end" localSheetId="1">'Jacking beam design'!$B$228</definedName>
    <definedName name="f1end">'Service Beam Design'!$B$228</definedName>
    <definedName name="f1neg">'Ultimate Beam Design'!$B$136</definedName>
    <definedName name="f1pos1">'Ultimate Beam Design'!$B$179</definedName>
    <definedName name="f1pos2">'Ultimate Beam Design'!$B$206</definedName>
    <definedName name="f2dead">'Ultimate Beam Design'!$C$101</definedName>
    <definedName name="f2end" localSheetId="1">'Jacking beam design'!$C$228</definedName>
    <definedName name="f2end">'Service Beam Design'!$C$228</definedName>
    <definedName name="f2neg">'Ultimate Beam Design'!$C$136</definedName>
    <definedName name="f2pos1">'Ultimate Beam Design'!$C$179</definedName>
    <definedName name="f2pos2">'Ultimate Beam Design'!$C$206</definedName>
    <definedName name="f2primeend" localSheetId="1">'Jacking beam design'!$D$244</definedName>
    <definedName name="f2primeend">'Service Beam Design'!$D$244</definedName>
    <definedName name="f2pso2">'Ultimate Beam Design'!#REF!</definedName>
    <definedName name="f3dead">'Ultimate Beam Design'!$D$101</definedName>
    <definedName name="f3end" localSheetId="1">'Jacking beam design'!$D$228</definedName>
    <definedName name="f3end">'Service Beam Design'!$D$228</definedName>
    <definedName name="f3neg">'Ultimate Beam Design'!$D$136</definedName>
    <definedName name="f3pos1">'Ultimate Beam Design'!$D$179</definedName>
    <definedName name="f3pos2">'Ultimate Beam Design'!$D$206</definedName>
    <definedName name="f4dead">'Ultimate Beam Design'!$E$101</definedName>
    <definedName name="f4end" localSheetId="1">'Jacking beam design'!$E$228</definedName>
    <definedName name="f4end">'Service Beam Design'!$E$228</definedName>
    <definedName name="f4neg">'Ultimate Beam Design'!$E$136</definedName>
    <definedName name="f4pos1">'Ultimate Beam Design'!$E$179</definedName>
    <definedName name="f4pos2">'Ultimate Beam Design'!$E$206</definedName>
    <definedName name="f4pso2">'Ultimate Beam Design'!#REF!</definedName>
    <definedName name="fc" localSheetId="1">'Jacking beam design'!$C$29</definedName>
    <definedName name="fc">'Service Beam Design'!$C$29</definedName>
    <definedName name="fci" localSheetId="1">'Jacking beam design'!$C$30</definedName>
    <definedName name="fci">'Service Beam Design'!$C$30</definedName>
    <definedName name="fpu" localSheetId="1">'Jacking beam design'!$C$38</definedName>
    <definedName name="fpu">'Service Beam Design'!$C$38</definedName>
    <definedName name="fse" localSheetId="1">'Jacking beam design'!$C$40</definedName>
    <definedName name="fse">'Service Beam Design'!$C$40</definedName>
    <definedName name="fyrebar" localSheetId="1">'Jacking beam design'!$C$33</definedName>
    <definedName name="fyrebar">'Service Beam Design'!$C$33</definedName>
    <definedName name="h" localSheetId="1">'Jacking beam design'!$D$77</definedName>
    <definedName name="h">'Service Beam Design'!$D$77</definedName>
    <definedName name="hslab" localSheetId="1">'Jacking beam design'!$D$60</definedName>
    <definedName name="hslab">'Service Beam Design'!$D$60</definedName>
    <definedName name="ki" localSheetId="1">'Jacking beam design'!$D$106</definedName>
    <definedName name="ki">'Service Beam Design'!$D$106</definedName>
    <definedName name="l" localSheetId="1">'Jacking beam design'!$D$108</definedName>
    <definedName name="l">'Service Beam Design'!$D$108</definedName>
    <definedName name="L_1" localSheetId="1">'Jacking beam design'!$B$189</definedName>
    <definedName name="L_1">'Service Beam Design'!$B$189</definedName>
    <definedName name="l_11" localSheetId="1">'Jacking beam design'!$A$296</definedName>
    <definedName name="l_11">'Service Beam Design'!$A$296</definedName>
    <definedName name="l_2" localSheetId="1">'Jacking beam design'!$C$189</definedName>
    <definedName name="l_2">'Service Beam Design'!$C$189</definedName>
    <definedName name="l_22" localSheetId="1">'Jacking beam design'!$B$296</definedName>
    <definedName name="l_22">'Service Beam Design'!$B$296</definedName>
    <definedName name="l_3" localSheetId="1">'Jacking beam design'!$D$189</definedName>
    <definedName name="l_3">'Service Beam Design'!$D$189</definedName>
    <definedName name="l_33" localSheetId="1">'Jacking beam design'!$C$296</definedName>
    <definedName name="l_33">'Service Beam Design'!$C$296</definedName>
    <definedName name="l1alt">'Ultimate Beam Design'!$A$202</definedName>
    <definedName name="l2alt">'Ultimate Beam Design'!$B$202</definedName>
    <definedName name="l3alt">'Ultimate Beam Design'!$C$202</definedName>
    <definedName name="ll" localSheetId="1">'Jacking beam design'!$C$92</definedName>
    <definedName name="ll">'Service Beam Design'!$C$92</definedName>
    <definedName name="peff" localSheetId="1">'Jacking beam design'!$C$41</definedName>
    <definedName name="peff">'Service Beam Design'!$C$41</definedName>
    <definedName name="sidl" localSheetId="1">'Jacking beam design'!$C$91</definedName>
    <definedName name="sidl">'Service Beam Design'!$C$91</definedName>
    <definedName name="slabnet" localSheetId="1">'Jacking beam design'!#REF!</definedName>
    <definedName name="slabnet">'Service Beam Design'!#REF!</definedName>
    <definedName name="slabspan" localSheetId="1">'Jacking beam design'!$C$145</definedName>
    <definedName name="slabspan">'Service Beam Design'!$C$145</definedName>
    <definedName name="w" localSheetId="1">'Jacking beam design'!$C$185</definedName>
    <definedName name="w">'Service Beam Design'!$C$185</definedName>
    <definedName name="w_2" localSheetId="1">'Jacking beam design'!#REF!</definedName>
    <definedName name="w_2">'Service Beam Design'!#REF!</definedName>
    <definedName name="wdead">'Ultimate Beam Design'!$D$4</definedName>
    <definedName name="wend" localSheetId="1">'Jacking beam design'!$C$214</definedName>
    <definedName name="wend">'Service Beam Design'!$C$214</definedName>
    <definedName name="wlive">'Ultimate Beam Design'!$D$5</definedName>
    <definedName name="wneg">'Ultimate Beam Design'!#REF!</definedName>
    <definedName name="x1end" localSheetId="1">'Jacking beam design'!$D$235</definedName>
    <definedName name="x1end">'Service Beam Design'!$D$235</definedName>
    <definedName name="x3end" localSheetId="1">'Jacking beam design'!$D$237</definedName>
    <definedName name="x3end">'Service Beam Design'!$D$237</definedName>
  </definedNames>
  <calcPr fullCalcOnLoad="1"/>
</workbook>
</file>

<file path=xl/sharedStrings.xml><?xml version="1.0" encoding="utf-8"?>
<sst xmlns="http://schemas.openxmlformats.org/spreadsheetml/2006/main" count="963" uniqueCount="246">
  <si>
    <t>B</t>
  </si>
  <si>
    <t>H</t>
  </si>
  <si>
    <t>f'c</t>
  </si>
  <si>
    <t>f'ci</t>
  </si>
  <si>
    <t>fy</t>
  </si>
  <si>
    <t>½"Φ, 7 wire strands, A =</t>
  </si>
  <si>
    <r>
      <t>f</t>
    </r>
    <r>
      <rPr>
        <vertAlign val="subscript"/>
        <sz val="10"/>
        <rFont val="Arial"/>
        <family val="2"/>
      </rPr>
      <t>pu</t>
    </r>
  </si>
  <si>
    <t>Estimated prestress losses =</t>
  </si>
  <si>
    <t>fse</t>
  </si>
  <si>
    <t>peff</t>
  </si>
  <si>
    <t>IBC 1607.9.1 allows for LL reduction</t>
  </si>
  <si>
    <t>KI for beam</t>
  </si>
  <si>
    <t>L = LL(.25 + 15/sqrt(AI))</t>
  </si>
  <si>
    <t>Loads</t>
  </si>
  <si>
    <t>SIDL</t>
  </si>
  <si>
    <t>LL</t>
  </si>
  <si>
    <t>plf</t>
  </si>
  <si>
    <t>psf</t>
  </si>
  <si>
    <t>Girder Properties</t>
  </si>
  <si>
    <t>A</t>
  </si>
  <si>
    <t>Slab Properties</t>
  </si>
  <si>
    <t>pcf</t>
  </si>
  <si>
    <t>psi</t>
  </si>
  <si>
    <r>
      <t>f'</t>
    </r>
    <r>
      <rPr>
        <vertAlign val="subscript"/>
        <sz val="10"/>
        <rFont val="Arial"/>
        <family val="2"/>
      </rPr>
      <t>c</t>
    </r>
  </si>
  <si>
    <r>
      <t>f'</t>
    </r>
    <r>
      <rPr>
        <vertAlign val="subscript"/>
        <sz val="10"/>
        <rFont val="Arial"/>
        <family val="2"/>
      </rPr>
      <t>ci</t>
    </r>
  </si>
  <si>
    <t>S</t>
  </si>
  <si>
    <t>Set design parameters</t>
  </si>
  <si>
    <t>Allowable stresses: Class U</t>
  </si>
  <si>
    <t>compression</t>
  </si>
  <si>
    <t>tension</t>
  </si>
  <si>
    <t>Average precompression limits</t>
  </si>
  <si>
    <t>P/A</t>
  </si>
  <si>
    <t>Target Load Balances</t>
  </si>
  <si>
    <t>Cover requirements</t>
  </si>
  <si>
    <t>Exterior support-anchor</t>
  </si>
  <si>
    <t>interior support-top</t>
  </si>
  <si>
    <t>interior span-bottom</t>
  </si>
  <si>
    <t>end span - bottom</t>
  </si>
  <si>
    <t>aint</t>
  </si>
  <si>
    <t>al</t>
  </si>
  <si>
    <t>ar</t>
  </si>
  <si>
    <t>P</t>
  </si>
  <si>
    <t>k</t>
  </si>
  <si>
    <t>#tendons</t>
  </si>
  <si>
    <t>Pactual</t>
  </si>
  <si>
    <t>wb revised</t>
  </si>
  <si>
    <t>klf</t>
  </si>
  <si>
    <t>Pactual/A</t>
  </si>
  <si>
    <t>Check interior span force</t>
  </si>
  <si>
    <t>wbint</t>
  </si>
  <si>
    <t>y</t>
  </si>
  <si>
    <t>I</t>
  </si>
  <si>
    <t>Enter Concrete properties</t>
  </si>
  <si>
    <t>Density</t>
  </si>
  <si>
    <t>Enter mild-reinforcement properties</t>
  </si>
  <si>
    <t>Enter PT Strand properties</t>
  </si>
  <si>
    <t>Span 1</t>
  </si>
  <si>
    <t>Span 2</t>
  </si>
  <si>
    <t>Span 3</t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</si>
  <si>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</si>
  <si>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</si>
  <si>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t>Trib. Area</t>
  </si>
  <si>
    <t>Reduced LL</t>
  </si>
  <si>
    <t>Girder Design</t>
  </si>
  <si>
    <t>Self weight:</t>
  </si>
  <si>
    <t>Area</t>
  </si>
  <si>
    <t>Linear W</t>
  </si>
  <si>
    <t>*  1/144  =</t>
  </si>
  <si>
    <t>Area W</t>
  </si>
  <si>
    <t>thickness</t>
  </si>
  <si>
    <t>* 1/12 =</t>
  </si>
  <si>
    <t>ft</t>
  </si>
  <si>
    <r>
      <t>ft</t>
    </r>
    <r>
      <rPr>
        <vertAlign val="superscript"/>
        <sz val="10"/>
        <rFont val="Arial"/>
        <family val="2"/>
      </rPr>
      <t>2</t>
    </r>
  </si>
  <si>
    <t>Tendon ordinate:</t>
  </si>
  <si>
    <t>wbalanced</t>
  </si>
  <si>
    <t>→</t>
  </si>
  <si>
    <t>Determine actual precompression stress</t>
  </si>
  <si>
    <t>Assume end span governs</t>
  </si>
  <si>
    <t>Check precompression allowance</t>
  </si>
  <si>
    <t>Definitions</t>
  </si>
  <si>
    <t>Code Limitations</t>
  </si>
  <si>
    <t>F1</t>
  </si>
  <si>
    <t>F2</t>
  </si>
  <si>
    <t>F3</t>
  </si>
  <si>
    <t>F4</t>
  </si>
  <si>
    <t>l1</t>
  </si>
  <si>
    <t>l2</t>
  </si>
  <si>
    <t>l3</t>
  </si>
  <si>
    <r>
      <t>▲</t>
    </r>
    <r>
      <rPr>
        <vertAlign val="subscript"/>
        <sz val="10"/>
        <rFont val="Arial"/>
        <family val="2"/>
      </rPr>
      <t>BB</t>
    </r>
  </si>
  <si>
    <r>
      <t>▲</t>
    </r>
    <r>
      <rPr>
        <vertAlign val="subscript"/>
        <sz val="10"/>
        <rFont val="Arial"/>
        <family val="2"/>
      </rPr>
      <t>DB</t>
    </r>
  </si>
  <si>
    <r>
      <t>▲</t>
    </r>
    <r>
      <rPr>
        <vertAlign val="subscript"/>
        <sz val="10"/>
        <rFont val="Arial"/>
        <family val="2"/>
      </rPr>
      <t>BD</t>
    </r>
  </si>
  <si>
    <r>
      <t>▲</t>
    </r>
    <r>
      <rPr>
        <vertAlign val="subscript"/>
        <sz val="10"/>
        <rFont val="Arial"/>
        <family val="2"/>
      </rPr>
      <t>DD</t>
    </r>
  </si>
  <si>
    <r>
      <t>▲</t>
    </r>
    <r>
      <rPr>
        <vertAlign val="subscript"/>
        <sz val="10"/>
        <rFont val="Arial"/>
        <family val="2"/>
      </rPr>
      <t>B</t>
    </r>
  </si>
  <si>
    <r>
      <t>▲</t>
    </r>
    <r>
      <rPr>
        <vertAlign val="subscript"/>
        <sz val="10"/>
        <rFont val="Arial"/>
        <family val="2"/>
      </rPr>
      <t>D</t>
    </r>
  </si>
  <si>
    <t>Max positive moments on span 1 + 3</t>
  </si>
  <si>
    <t>x1</t>
  </si>
  <si>
    <t>x3</t>
  </si>
  <si>
    <t>M</t>
  </si>
  <si>
    <t>F1'</t>
  </si>
  <si>
    <t>x2</t>
  </si>
  <si>
    <t>Max positive on span 2</t>
  </si>
  <si>
    <t>Negative moments</t>
  </si>
  <si>
    <t>1--2</t>
  </si>
  <si>
    <t>2--3</t>
  </si>
  <si>
    <t>F4'</t>
  </si>
  <si>
    <r>
      <t>B</t>
    </r>
    <r>
      <rPr>
        <vertAlign val="subscript"/>
        <sz val="10"/>
        <rFont val="Arial"/>
        <family val="2"/>
      </rPr>
      <t>eff</t>
    </r>
  </si>
  <si>
    <t>For fully loaded beam</t>
  </si>
  <si>
    <t>Atop</t>
  </si>
  <si>
    <t>Itotal</t>
  </si>
  <si>
    <t>Sb</t>
  </si>
  <si>
    <t>St</t>
  </si>
  <si>
    <t>Without T flange</t>
  </si>
  <si>
    <t>F2'</t>
  </si>
  <si>
    <t>For ends spans loaded</t>
  </si>
  <si>
    <t>Consistent Deformation Deflections</t>
  </si>
  <si>
    <t>Moment Layout</t>
  </si>
  <si>
    <t>Support A</t>
  </si>
  <si>
    <t>Midspan</t>
  </si>
  <si>
    <t>Support B</t>
  </si>
  <si>
    <t>Support C</t>
  </si>
  <si>
    <t>Support D</t>
  </si>
  <si>
    <t>L1</t>
  </si>
  <si>
    <t>L3</t>
  </si>
  <si>
    <t>F3'</t>
  </si>
  <si>
    <t>Consistent deformation left span loaded</t>
  </si>
  <si>
    <t>At</t>
  </si>
  <si>
    <t>Fully loaded</t>
  </si>
  <si>
    <t xml:space="preserve">End spans </t>
  </si>
  <si>
    <t>Two spans</t>
  </si>
  <si>
    <t>L-R</t>
  </si>
  <si>
    <t>R-L</t>
  </si>
  <si>
    <t>For two spans loaded R-L</t>
  </si>
  <si>
    <t xml:space="preserve">L2 </t>
  </si>
  <si>
    <t>+</t>
  </si>
  <si>
    <t>-</t>
  </si>
  <si>
    <t>=</t>
  </si>
  <si>
    <t xml:space="preserve">Positive </t>
  </si>
  <si>
    <t>Negative</t>
  </si>
  <si>
    <t>Ultimate Strength Design</t>
  </si>
  <si>
    <t>DL</t>
  </si>
  <si>
    <t>Dead Load - Full</t>
  </si>
  <si>
    <t>Live - Positive</t>
  </si>
  <si>
    <t>Live - Negative</t>
  </si>
  <si>
    <t>Max positive</t>
  </si>
  <si>
    <t>Max negative</t>
  </si>
  <si>
    <t>Max design</t>
  </si>
  <si>
    <t>Calulation of secondary moments</t>
  </si>
  <si>
    <t>wp</t>
  </si>
  <si>
    <t>Mp</t>
  </si>
  <si>
    <t>M2</t>
  </si>
  <si>
    <t>M+</t>
  </si>
  <si>
    <t>M -</t>
  </si>
  <si>
    <t>Unbonded tendons</t>
  </si>
  <si>
    <t>Use 100% of DL(selfweight)</t>
  </si>
  <si>
    <t>ec</t>
  </si>
  <si>
    <t>F</t>
  </si>
  <si>
    <t>F*ec = M</t>
  </si>
  <si>
    <t>fsu</t>
  </si>
  <si>
    <r>
      <t>f</t>
    </r>
    <r>
      <rPr>
        <vertAlign val="subscript"/>
        <sz val="10"/>
        <rFont val="Arial"/>
        <family val="2"/>
      </rPr>
      <t>su</t>
    </r>
  </si>
  <si>
    <t>maximum stress</t>
  </si>
  <si>
    <t>ultimate strength in prestressing tendons</t>
  </si>
  <si>
    <r>
      <t>σ</t>
    </r>
    <r>
      <rPr>
        <vertAlign val="subscript"/>
        <sz val="10"/>
        <rFont val="Arial"/>
        <family val="2"/>
      </rPr>
      <t>ts</t>
    </r>
  </si>
  <si>
    <t>extreme fiber stress</t>
  </si>
  <si>
    <t>stress just after transfer</t>
  </si>
  <si>
    <t>effective prestress</t>
  </si>
  <si>
    <r>
      <t>f</t>
    </r>
    <r>
      <rPr>
        <vertAlign val="subscript"/>
        <sz val="10"/>
        <rFont val="Arial"/>
        <family val="2"/>
      </rPr>
      <t>pi</t>
    </r>
  </si>
  <si>
    <r>
      <t>f</t>
    </r>
    <r>
      <rPr>
        <vertAlign val="subscript"/>
        <sz val="10"/>
        <rFont val="Arial"/>
        <family val="2"/>
      </rPr>
      <t>pe</t>
    </r>
  </si>
  <si>
    <t>Check span-to-depth ratio</t>
  </si>
  <si>
    <t>If greater than 35:</t>
  </si>
  <si>
    <r>
      <t>f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0"/>
      </rPr>
      <t xml:space="preserve"> = f</t>
    </r>
    <r>
      <rPr>
        <vertAlign val="subscript"/>
        <sz val="10"/>
        <rFont val="Arial"/>
        <family val="2"/>
      </rPr>
      <t>se</t>
    </r>
    <r>
      <rPr>
        <sz val="10"/>
        <rFont val="Arial"/>
        <family val="0"/>
      </rPr>
      <t xml:space="preserve"> + 10,000 + fc'/300p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</t>
    </r>
    <r>
      <rPr>
        <sz val="10"/>
        <rFont val="Franklin Gothic Medium"/>
        <family val="2"/>
      </rPr>
      <t>≤</t>
    </r>
    <r>
      <rPr>
        <sz val="10"/>
        <rFont val="Arial"/>
        <family val="0"/>
      </rPr>
      <t xml:space="preserve"> f</t>
    </r>
    <r>
      <rPr>
        <vertAlign val="subscript"/>
        <sz val="10"/>
        <rFont val="Arial"/>
        <family val="2"/>
      </rPr>
      <t>py</t>
    </r>
    <r>
      <rPr>
        <sz val="10"/>
        <rFont val="Arial"/>
        <family val="0"/>
      </rPr>
      <t xml:space="preserve"> or f</t>
    </r>
    <r>
      <rPr>
        <vertAlign val="subscript"/>
        <sz val="10"/>
        <rFont val="Arial"/>
        <family val="2"/>
      </rPr>
      <t>se</t>
    </r>
    <r>
      <rPr>
        <sz val="10"/>
        <rFont val="Arial"/>
        <family val="0"/>
      </rPr>
      <t xml:space="preserve"> + 60,000</t>
    </r>
  </si>
  <si>
    <t>Ref (18-5) of ACI</t>
  </si>
  <si>
    <t>reinforcement ratio is assumed not to include the T-Beam flange</t>
  </si>
  <si>
    <t>pp</t>
  </si>
  <si>
    <r>
      <t>f</t>
    </r>
    <r>
      <rPr>
        <vertAlign val="subscript"/>
        <sz val="10"/>
        <rFont val="Arial"/>
        <family val="2"/>
      </rPr>
      <t>ps</t>
    </r>
  </si>
  <si>
    <t>support ( Mu)</t>
  </si>
  <si>
    <t>Mu required  =</t>
  </si>
  <si>
    <t>Minimum bonded reinforcement   Ref(18-6) ACI</t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</si>
  <si>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.004 A</t>
    </r>
    <r>
      <rPr>
        <vertAlign val="subscript"/>
        <sz val="10"/>
        <rFont val="Arial"/>
        <family val="2"/>
      </rPr>
      <t>ct</t>
    </r>
  </si>
  <si>
    <t>Act</t>
  </si>
  <si>
    <t>Asmin</t>
  </si>
  <si>
    <t>Reinforcement table</t>
  </si>
  <si>
    <t>a</t>
  </si>
  <si>
    <t>Mn</t>
  </si>
  <si>
    <t>Ps</t>
  </si>
  <si>
    <t>Pt</t>
  </si>
  <si>
    <t>q</t>
  </si>
  <si>
    <t>&lt;</t>
  </si>
  <si>
    <t>no compression steel required</t>
  </si>
  <si>
    <t>Mu required =</t>
  </si>
  <si>
    <t>Use 6#8's</t>
  </si>
  <si>
    <t>Check shear @ interior support</t>
  </si>
  <si>
    <t>wt</t>
  </si>
  <si>
    <t>Vu</t>
  </si>
  <si>
    <r>
      <t>Vc={0.6*SQ(fc') + 700V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}b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d</t>
    </r>
  </si>
  <si>
    <t>Vc</t>
  </si>
  <si>
    <t>nominal stirrups</t>
  </si>
  <si>
    <t>Slabs</t>
  </si>
  <si>
    <t>With prestressing</t>
  </si>
  <si>
    <t>% of Dead Load Resisted * 100</t>
  </si>
  <si>
    <t>Dead Load resisted =</t>
  </si>
  <si>
    <t>Dead Load  =</t>
  </si>
  <si>
    <t>Wn</t>
  </si>
  <si>
    <t>TL</t>
  </si>
  <si>
    <t>Interior Spans</t>
  </si>
  <si>
    <t>F/A</t>
  </si>
  <si>
    <t>f</t>
  </si>
  <si>
    <t>Exterior spans</t>
  </si>
  <si>
    <t>w</t>
  </si>
  <si>
    <t>For two spans loaded L-R</t>
  </si>
  <si>
    <t>strands</t>
  </si>
  <si>
    <t>Beam 1</t>
  </si>
  <si>
    <t>Beam 2</t>
  </si>
  <si>
    <t>Beam 3</t>
  </si>
  <si>
    <t>Beam 4</t>
  </si>
  <si>
    <t>Beam 5</t>
  </si>
  <si>
    <t>Beam 6</t>
  </si>
  <si>
    <t>Beam 7</t>
  </si>
  <si>
    <t>Beam 8</t>
  </si>
  <si>
    <t>Beam 9</t>
  </si>
  <si>
    <t>Beam 10</t>
  </si>
  <si>
    <t>P3</t>
  </si>
  <si>
    <t>P1</t>
  </si>
  <si>
    <t>f2</t>
  </si>
  <si>
    <t>f1</t>
  </si>
  <si>
    <t>a1</t>
  </si>
  <si>
    <t>a2</t>
  </si>
  <si>
    <t>a3</t>
  </si>
  <si>
    <t>a4</t>
  </si>
  <si>
    <t>P2</t>
  </si>
  <si>
    <r>
      <t>▲</t>
    </r>
    <r>
      <rPr>
        <vertAlign val="subscript"/>
        <sz val="10"/>
        <rFont val="Arial"/>
        <family val="2"/>
      </rPr>
      <t>A</t>
    </r>
  </si>
  <si>
    <r>
      <t>▲</t>
    </r>
    <r>
      <rPr>
        <vertAlign val="subscript"/>
        <sz val="10"/>
        <rFont val="Arial"/>
        <family val="2"/>
      </rPr>
      <t>AA</t>
    </r>
  </si>
  <si>
    <r>
      <t>▲</t>
    </r>
    <r>
      <rPr>
        <vertAlign val="subscript"/>
        <sz val="10"/>
        <rFont val="Arial"/>
        <family val="2"/>
      </rPr>
      <t>DA</t>
    </r>
  </si>
  <si>
    <r>
      <t>▲</t>
    </r>
    <r>
      <rPr>
        <vertAlign val="subscript"/>
        <sz val="10"/>
        <rFont val="Arial"/>
        <family val="2"/>
      </rPr>
      <t>AD</t>
    </r>
  </si>
  <si>
    <r>
      <t>Mu</t>
    </r>
    <r>
      <rPr>
        <b/>
        <vertAlign val="subscript"/>
        <sz val="10"/>
        <rFont val="Arial"/>
        <family val="2"/>
      </rPr>
      <t>service</t>
    </r>
  </si>
  <si>
    <t>At time of jacking:</t>
  </si>
  <si>
    <t>At service loads:</t>
  </si>
  <si>
    <t>Code values</t>
  </si>
  <si>
    <t>Use 6 #8's</t>
  </si>
  <si>
    <t>Concrete Savings per Beams</t>
  </si>
  <si>
    <t>10000 ft of length total</t>
  </si>
  <si>
    <t>72in^2</t>
  </si>
  <si>
    <t>lb/ft</t>
  </si>
  <si>
    <t>750000 lb of concrete</t>
  </si>
  <si>
    <t>typical slab is 87 psf</t>
  </si>
  <si>
    <t>cuts off about 3% of total slab</t>
  </si>
  <si>
    <t>With regular reinforcing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</si>
</sst>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[$-409]h:mm:ss\ AM/PM"/>
  </numFmts>
  <fonts count="9">
    <font>
      <sz val="10"/>
      <name val="Arial"/>
      <family val="0"/>
    </font>
    <font>
      <sz val="10"/>
      <name val="Franklin Gothic Medium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workbookViewId="0" topLeftCell="A1">
      <selection activeCell="I18" sqref="I18"/>
    </sheetView>
  </sheetViews>
  <sheetFormatPr defaultColWidth="9.140625" defaultRowHeight="12.75"/>
  <sheetData>
    <row r="2" ht="12.75">
      <c r="A2" t="s">
        <v>238</v>
      </c>
    </row>
    <row r="4" ht="12.75">
      <c r="A4" t="s">
        <v>239</v>
      </c>
    </row>
    <row r="7" ht="12.75">
      <c r="A7" t="s">
        <v>240</v>
      </c>
    </row>
    <row r="9" spans="1:2" ht="12.75">
      <c r="A9">
        <f>(72/144)*150</f>
        <v>75</v>
      </c>
      <c r="B9" t="s">
        <v>241</v>
      </c>
    </row>
    <row r="11" ht="12.75">
      <c r="A11">
        <f>75*10000</f>
        <v>750000</v>
      </c>
    </row>
    <row r="13" ht="12.75">
      <c r="A13" t="s">
        <v>242</v>
      </c>
    </row>
    <row r="18" ht="12.75">
      <c r="A18" t="s">
        <v>243</v>
      </c>
    </row>
    <row r="21" ht="12.75">
      <c r="A21">
        <f>100*28*87</f>
        <v>243600</v>
      </c>
    </row>
    <row r="24" ht="12.75">
      <c r="A24" t="s">
        <v>244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Q319"/>
  <sheetViews>
    <sheetView tabSelected="1" workbookViewId="0" topLeftCell="A286">
      <selection activeCell="G71" sqref="G71"/>
    </sheetView>
  </sheetViews>
  <sheetFormatPr defaultColWidth="9.140625" defaultRowHeight="12.75"/>
  <cols>
    <col min="2" max="2" width="11.57421875" style="0" customWidth="1"/>
    <col min="3" max="5" width="10.57421875" style="0" customWidth="1"/>
    <col min="6" max="6" width="9.8515625" style="0" customWidth="1"/>
    <col min="7" max="7" width="16.8515625" style="0" customWidth="1"/>
  </cols>
  <sheetData>
    <row r="4" spans="4:6" ht="12.75">
      <c r="D4" s="20"/>
      <c r="E4" s="20"/>
      <c r="F4" s="20"/>
    </row>
    <row r="10" spans="2:3" s="8" customFormat="1" ht="12.75">
      <c r="B10" s="51" t="s">
        <v>79</v>
      </c>
      <c r="C10" s="51"/>
    </row>
    <row r="14" spans="1:2" ht="15.75">
      <c r="A14" t="s">
        <v>6</v>
      </c>
      <c r="B14" t="s">
        <v>160</v>
      </c>
    </row>
    <row r="15" spans="1:2" ht="15.75">
      <c r="A15" t="s">
        <v>158</v>
      </c>
      <c r="B15" t="s">
        <v>159</v>
      </c>
    </row>
    <row r="16" spans="1:2" ht="15.75">
      <c r="A16" t="s">
        <v>166</v>
      </c>
      <c r="B16" t="s">
        <v>164</v>
      </c>
    </row>
    <row r="17" spans="1:2" ht="15.75">
      <c r="A17" t="s">
        <v>165</v>
      </c>
      <c r="B17" t="s">
        <v>163</v>
      </c>
    </row>
    <row r="18" spans="1:2" ht="15.75">
      <c r="A18" s="1" t="s">
        <v>161</v>
      </c>
      <c r="B18" t="s">
        <v>162</v>
      </c>
    </row>
    <row r="25" spans="2:3" s="8" customFormat="1" ht="12.75">
      <c r="B25" s="51" t="s">
        <v>80</v>
      </c>
      <c r="C25" s="51"/>
    </row>
    <row r="27" spans="1:10" ht="12.75">
      <c r="A27" t="s">
        <v>52</v>
      </c>
      <c r="G27" s="4" t="s">
        <v>26</v>
      </c>
      <c r="J27" t="s">
        <v>30</v>
      </c>
    </row>
    <row r="28" spans="2:11" ht="12.75">
      <c r="B28" t="s">
        <v>53</v>
      </c>
      <c r="C28" s="30">
        <v>150</v>
      </c>
      <c r="D28" t="s">
        <v>21</v>
      </c>
      <c r="J28" t="s">
        <v>31</v>
      </c>
      <c r="K28">
        <v>125</v>
      </c>
    </row>
    <row r="29" spans="2:11" ht="15.75">
      <c r="B29" t="s">
        <v>23</v>
      </c>
      <c r="C29" s="30">
        <v>6000</v>
      </c>
      <c r="D29" t="s">
        <v>22</v>
      </c>
      <c r="G29" s="4" t="s">
        <v>27</v>
      </c>
      <c r="K29">
        <v>300</v>
      </c>
    </row>
    <row r="30" spans="2:4" ht="15.75">
      <c r="B30" t="s">
        <v>24</v>
      </c>
      <c r="C30" s="30">
        <v>3000</v>
      </c>
      <c r="D30" t="s">
        <v>22</v>
      </c>
    </row>
    <row r="31" spans="7:13" ht="12.75">
      <c r="G31" t="s">
        <v>234</v>
      </c>
      <c r="J31" t="s">
        <v>33</v>
      </c>
      <c r="M31" t="s">
        <v>32</v>
      </c>
    </row>
    <row r="32" spans="1:16" ht="12.75">
      <c r="A32" t="s">
        <v>54</v>
      </c>
      <c r="C32" s="2"/>
      <c r="G32" t="s">
        <v>3</v>
      </c>
      <c r="H32">
        <f>fci</f>
        <v>3000</v>
      </c>
      <c r="J32" s="5">
        <v>1.25</v>
      </c>
      <c r="M32" t="s">
        <v>153</v>
      </c>
      <c r="P32" s="12">
        <v>1.1</v>
      </c>
    </row>
    <row r="33" spans="2:8" ht="12.75">
      <c r="B33" t="s">
        <v>4</v>
      </c>
      <c r="C33" s="9">
        <v>60000</v>
      </c>
      <c r="G33" t="s">
        <v>28</v>
      </c>
      <c r="H33">
        <f>0.6*H32</f>
        <v>1800</v>
      </c>
    </row>
    <row r="34" spans="7:8" ht="12.75">
      <c r="G34" t="s">
        <v>29</v>
      </c>
      <c r="H34">
        <f>-1*6*SQRT(H32)</f>
        <v>-328.63353450309967</v>
      </c>
    </row>
    <row r="35" spans="1:3" ht="12.75">
      <c r="A35" t="s">
        <v>55</v>
      </c>
      <c r="B35" s="3"/>
      <c r="C35" s="3"/>
    </row>
    <row r="36" spans="2:10" ht="12.75">
      <c r="B36" t="s">
        <v>152</v>
      </c>
      <c r="G36" t="s">
        <v>235</v>
      </c>
      <c r="J36" t="s">
        <v>10</v>
      </c>
    </row>
    <row r="37" spans="2:10" ht="13.5">
      <c r="B37" s="1" t="s">
        <v>5</v>
      </c>
      <c r="D37" s="9">
        <v>0.153</v>
      </c>
      <c r="G37" t="s">
        <v>2</v>
      </c>
      <c r="H37">
        <f>fc</f>
        <v>6000</v>
      </c>
      <c r="J37" t="s">
        <v>12</v>
      </c>
    </row>
    <row r="38" spans="2:8" ht="15.75">
      <c r="B38" s="2" t="s">
        <v>6</v>
      </c>
      <c r="C38" s="12">
        <v>270</v>
      </c>
      <c r="G38" t="s">
        <v>28</v>
      </c>
      <c r="H38">
        <f>0.45*fc</f>
        <v>2700</v>
      </c>
    </row>
    <row r="39" spans="2:8" ht="12.75">
      <c r="B39" t="s">
        <v>7</v>
      </c>
      <c r="E39" s="12">
        <v>15</v>
      </c>
      <c r="G39" t="s">
        <v>29</v>
      </c>
      <c r="H39">
        <f>-1*6*SQRT(fc)</f>
        <v>-464.75800154489</v>
      </c>
    </row>
    <row r="40" spans="2:3" ht="12.75">
      <c r="B40" t="s">
        <v>8</v>
      </c>
      <c r="C40">
        <f>0.7*fpu-epl</f>
        <v>174</v>
      </c>
    </row>
    <row r="41" spans="2:3" ht="12.75">
      <c r="B41" t="s">
        <v>9</v>
      </c>
      <c r="C41">
        <f>astrand*fse</f>
        <v>26.622</v>
      </c>
    </row>
    <row r="42" spans="2:6" ht="12.75">
      <c r="B42" t="s">
        <v>157</v>
      </c>
      <c r="C42">
        <f>fse*1000+1*fc/100+10000</f>
        <v>184060</v>
      </c>
      <c r="F42" s="3"/>
    </row>
    <row r="43" spans="2:6" ht="12.75">
      <c r="B43" t="s">
        <v>172</v>
      </c>
      <c r="F43" s="3"/>
    </row>
    <row r="44" ht="12.75">
      <c r="F44" s="3"/>
    </row>
    <row r="45" spans="3:6" ht="12.75">
      <c r="C45">
        <f>0.7*fpu</f>
        <v>189</v>
      </c>
      <c r="F45" s="3"/>
    </row>
    <row r="46" ht="12.75">
      <c r="F46" s="3"/>
    </row>
    <row r="47" spans="3:6" ht="12.75">
      <c r="C47">
        <f>C45*E131*astrand</f>
        <v>578.34</v>
      </c>
      <c r="F47" s="3"/>
    </row>
    <row r="48" spans="3:6" ht="12.75">
      <c r="C48" s="5">
        <f>C47*1000/atotal</f>
        <v>695.9566787003611</v>
      </c>
      <c r="F48" s="3"/>
    </row>
    <row r="49" ht="12.75">
      <c r="F49" s="3"/>
    </row>
    <row r="50" ht="12.75">
      <c r="F50" s="3"/>
    </row>
    <row r="56" spans="2:3" s="7" customFormat="1" ht="12.75">
      <c r="B56" s="51" t="s">
        <v>20</v>
      </c>
      <c r="C56" s="51"/>
    </row>
    <row r="59" spans="2:4" ht="12.75">
      <c r="B59" s="3"/>
      <c r="C59" s="2" t="s">
        <v>0</v>
      </c>
      <c r="D59" s="2">
        <v>12</v>
      </c>
    </row>
    <row r="60" spans="3:4" ht="12.75">
      <c r="C60" s="2" t="s">
        <v>1</v>
      </c>
      <c r="D60" s="9">
        <v>7</v>
      </c>
    </row>
    <row r="61" spans="3:4" ht="12.75">
      <c r="C61" s="2" t="s">
        <v>19</v>
      </c>
      <c r="D61" s="2">
        <f>hslab*bslab</f>
        <v>84</v>
      </c>
    </row>
    <row r="62" spans="3:4" ht="12.75">
      <c r="C62" s="2" t="s">
        <v>25</v>
      </c>
      <c r="D62" s="2">
        <f>bslab*hslab^2/6</f>
        <v>98</v>
      </c>
    </row>
    <row r="65" spans="3:4" ht="12.75">
      <c r="C65" s="2"/>
      <c r="D65" s="2"/>
    </row>
    <row r="66" spans="2:4" ht="12.75">
      <c r="B66" t="s">
        <v>64</v>
      </c>
      <c r="C66" s="2"/>
      <c r="D66" s="2"/>
    </row>
    <row r="67" spans="3:4" ht="12.75">
      <c r="C67" s="2" t="s">
        <v>53</v>
      </c>
      <c r="D67" s="2">
        <v>150</v>
      </c>
    </row>
    <row r="68" spans="3:7" ht="12.75">
      <c r="C68" s="2" t="s">
        <v>69</v>
      </c>
      <c r="D68" s="2">
        <f>hslab</f>
        <v>7</v>
      </c>
      <c r="E68" t="s">
        <v>70</v>
      </c>
      <c r="F68">
        <f>D68/12</f>
        <v>0.5833333333333334</v>
      </c>
      <c r="G68" t="s">
        <v>71</v>
      </c>
    </row>
    <row r="69" spans="3:5" ht="12.75">
      <c r="C69" s="2" t="s">
        <v>68</v>
      </c>
      <c r="D69" s="11">
        <f>D67*F68</f>
        <v>87.5</v>
      </c>
      <c r="E69" t="s">
        <v>17</v>
      </c>
    </row>
    <row r="72" spans="2:3" s="8" customFormat="1" ht="12.75">
      <c r="B72" s="51" t="s">
        <v>18</v>
      </c>
      <c r="C72" s="51"/>
    </row>
    <row r="75" spans="16:17" ht="12.75">
      <c r="P75" t="s">
        <v>0</v>
      </c>
      <c r="Q75" t="s">
        <v>1</v>
      </c>
    </row>
    <row r="76" spans="3:15" ht="15.75">
      <c r="C76" s="2" t="s">
        <v>0</v>
      </c>
      <c r="D76" s="10">
        <v>18</v>
      </c>
      <c r="F76" t="s">
        <v>105</v>
      </c>
      <c r="G76">
        <f>MIN(0.25*MIN(C103*12,H103*12,N103*12),16*hslab+b,(C104*12-b)/2)</f>
        <v>75</v>
      </c>
      <c r="O76" t="s">
        <v>210</v>
      </c>
    </row>
    <row r="77" spans="3:15" ht="12.75">
      <c r="C77" s="2" t="s">
        <v>1</v>
      </c>
      <c r="D77" s="10">
        <v>24</v>
      </c>
      <c r="O77" t="s">
        <v>211</v>
      </c>
    </row>
    <row r="78" spans="1:15" ht="12.75">
      <c r="A78" t="s">
        <v>111</v>
      </c>
      <c r="C78" s="2" t="s">
        <v>19</v>
      </c>
      <c r="D78" s="2">
        <f>b*h</f>
        <v>432</v>
      </c>
      <c r="I78" t="s">
        <v>107</v>
      </c>
      <c r="J78">
        <f>(G76-b)*hslab</f>
        <v>399</v>
      </c>
      <c r="L78" t="s">
        <v>51</v>
      </c>
      <c r="M78" s="15">
        <f>(1/12)*(G76-b)*hslab^3</f>
        <v>1629.25</v>
      </c>
      <c r="O78" t="s">
        <v>212</v>
      </c>
    </row>
    <row r="79" spans="3:17" ht="12.75">
      <c r="C79" s="2" t="s">
        <v>25</v>
      </c>
      <c r="D79" s="2">
        <f>b*h^2/6</f>
        <v>1728</v>
      </c>
      <c r="I79" t="s">
        <v>19</v>
      </c>
      <c r="J79">
        <f>a</f>
        <v>432</v>
      </c>
      <c r="L79" t="s">
        <v>51</v>
      </c>
      <c r="M79">
        <f>(1/12)*(b)*h^3</f>
        <v>20736</v>
      </c>
      <c r="O79" t="s">
        <v>213</v>
      </c>
      <c r="P79">
        <v>12</v>
      </c>
      <c r="Q79">
        <v>36</v>
      </c>
    </row>
    <row r="80" spans="2:17" ht="12.75">
      <c r="B80" s="3"/>
      <c r="I80" t="s">
        <v>125</v>
      </c>
      <c r="J80">
        <f>J79+J78</f>
        <v>831</v>
      </c>
      <c r="O80" t="s">
        <v>214</v>
      </c>
      <c r="P80">
        <v>24</v>
      </c>
      <c r="Q80">
        <v>30</v>
      </c>
    </row>
    <row r="81" spans="9:17" ht="12.75">
      <c r="I81" t="s">
        <v>50</v>
      </c>
      <c r="J81" s="5">
        <f>(J78*(h-0.5*hslab)+J79*0.5*h)/(J79+J78)</f>
        <v>16.081227436823106</v>
      </c>
      <c r="O81" t="s">
        <v>215</v>
      </c>
      <c r="P81">
        <v>30</v>
      </c>
      <c r="Q81">
        <v>30</v>
      </c>
    </row>
    <row r="82" spans="2:17" ht="12.75">
      <c r="B82" t="s">
        <v>64</v>
      </c>
      <c r="O82" t="s">
        <v>216</v>
      </c>
      <c r="P82">
        <v>30</v>
      </c>
      <c r="Q82">
        <v>24</v>
      </c>
    </row>
    <row r="83" spans="3:17" ht="12.75">
      <c r="C83" s="2" t="s">
        <v>53</v>
      </c>
      <c r="D83" s="2">
        <v>150</v>
      </c>
      <c r="I83" t="s">
        <v>108</v>
      </c>
      <c r="J83" s="15">
        <f>ABS(J81-0.5*h)^2*J79+J78*(h-0.5*hslab-J81)^2+M79+M78</f>
        <v>37351.51714801444</v>
      </c>
      <c r="O83" t="s">
        <v>217</v>
      </c>
      <c r="P83">
        <v>36</v>
      </c>
      <c r="Q83">
        <v>24</v>
      </c>
    </row>
    <row r="84" spans="3:17" ht="14.25">
      <c r="C84" s="2" t="s">
        <v>65</v>
      </c>
      <c r="D84" s="2">
        <f>a</f>
        <v>432</v>
      </c>
      <c r="E84" t="s">
        <v>67</v>
      </c>
      <c r="F84" s="2">
        <f>D84/144</f>
        <v>3</v>
      </c>
      <c r="G84" t="s">
        <v>72</v>
      </c>
      <c r="O84" t="s">
        <v>218</v>
      </c>
      <c r="P84">
        <v>36</v>
      </c>
      <c r="Q84">
        <v>18</v>
      </c>
    </row>
    <row r="85" spans="3:17" ht="12.75">
      <c r="C85" s="2" t="s">
        <v>66</v>
      </c>
      <c r="D85" s="2">
        <f>F84*D83</f>
        <v>450</v>
      </c>
      <c r="E85" t="s">
        <v>16</v>
      </c>
      <c r="I85" t="s">
        <v>110</v>
      </c>
      <c r="J85" s="15">
        <f>J83/(h-J81)</f>
        <v>4716.831661727833</v>
      </c>
      <c r="O85" t="s">
        <v>219</v>
      </c>
      <c r="P85">
        <v>48</v>
      </c>
      <c r="Q85">
        <v>18</v>
      </c>
    </row>
    <row r="86" spans="9:10" ht="12.75">
      <c r="I86" t="s">
        <v>109</v>
      </c>
      <c r="J86" s="15">
        <f>J83/J81</f>
        <v>2322.678246716803</v>
      </c>
    </row>
    <row r="88" spans="2:3" s="8" customFormat="1" ht="12.75">
      <c r="B88" s="51" t="s">
        <v>13</v>
      </c>
      <c r="C88" s="51"/>
    </row>
    <row r="91" spans="2:4" ht="12.75">
      <c r="B91" t="s">
        <v>14</v>
      </c>
      <c r="C91" s="12">
        <v>20</v>
      </c>
      <c r="D91" t="s">
        <v>17</v>
      </c>
    </row>
    <row r="92" spans="2:4" ht="12.75">
      <c r="B92" t="s">
        <v>15</v>
      </c>
      <c r="C92" s="12">
        <v>80</v>
      </c>
      <c r="D92" t="s">
        <v>17</v>
      </c>
    </row>
    <row r="98" spans="2:3" s="8" customFormat="1" ht="12.75">
      <c r="B98" s="51" t="s">
        <v>63</v>
      </c>
      <c r="C98" s="51"/>
    </row>
    <row r="102" spans="2:13" ht="12.75">
      <c r="B102" t="s">
        <v>56</v>
      </c>
      <c r="G102" t="s">
        <v>57</v>
      </c>
      <c r="M102" t="s">
        <v>58</v>
      </c>
    </row>
    <row r="103" spans="2:14" ht="15.75">
      <c r="B103" s="6" t="s">
        <v>59</v>
      </c>
      <c r="C103" s="12">
        <v>42</v>
      </c>
      <c r="G103" s="6" t="s">
        <v>59</v>
      </c>
      <c r="H103" s="12">
        <v>25</v>
      </c>
      <c r="M103" s="6" t="s">
        <v>59</v>
      </c>
      <c r="N103" s="12">
        <v>42</v>
      </c>
    </row>
    <row r="104" spans="2:14" ht="15.75">
      <c r="B104" t="s">
        <v>60</v>
      </c>
      <c r="C104" s="12">
        <v>28</v>
      </c>
      <c r="G104" t="s">
        <v>60</v>
      </c>
      <c r="H104" s="12">
        <v>28</v>
      </c>
      <c r="M104" t="s">
        <v>60</v>
      </c>
      <c r="N104" s="12">
        <v>28</v>
      </c>
    </row>
    <row r="106" spans="2:15" ht="12.75">
      <c r="B106" t="s">
        <v>11</v>
      </c>
      <c r="D106" s="12">
        <v>2</v>
      </c>
      <c r="G106" t="s">
        <v>11</v>
      </c>
      <c r="I106" s="12">
        <v>2</v>
      </c>
      <c r="M106" t="s">
        <v>11</v>
      </c>
      <c r="O106" s="12">
        <v>2</v>
      </c>
    </row>
    <row r="107" spans="2:15" ht="12.75">
      <c r="B107" t="s">
        <v>61</v>
      </c>
      <c r="D107">
        <f>C104*C103</f>
        <v>1176</v>
      </c>
      <c r="G107" t="s">
        <v>61</v>
      </c>
      <c r="I107">
        <f>H104*H103</f>
        <v>700</v>
      </c>
      <c r="M107" t="s">
        <v>61</v>
      </c>
      <c r="O107">
        <f>N104*N103</f>
        <v>1176</v>
      </c>
    </row>
    <row r="108" spans="2:15" ht="12.75">
      <c r="B108" t="s">
        <v>62</v>
      </c>
      <c r="D108" s="5">
        <f>ll*(0.25+15/SQRT(D107*D106))</f>
        <v>44.74358296526967</v>
      </c>
      <c r="G108" t="s">
        <v>62</v>
      </c>
      <c r="I108" s="5">
        <f>ll*(0.25+15/SQRT(I107*I106))</f>
        <v>52.071349029490925</v>
      </c>
      <c r="M108" t="s">
        <v>62</v>
      </c>
      <c r="O108" s="5">
        <f>ll*(0.25+15/SQRT(O107*O106))</f>
        <v>44.74358296526967</v>
      </c>
    </row>
    <row r="109" spans="2:4" ht="12.75">
      <c r="B109" t="s">
        <v>15</v>
      </c>
      <c r="D109" s="5">
        <f>(MAX(l,I108,O108)*C104)/1000</f>
        <v>1.4579977728257458</v>
      </c>
    </row>
    <row r="110" spans="2:4" ht="12.75">
      <c r="B110" t="s">
        <v>139</v>
      </c>
      <c r="D110" s="5">
        <f>C127/P32</f>
        <v>2.7687500000000003</v>
      </c>
    </row>
    <row r="112" ht="12.75">
      <c r="A112" t="s">
        <v>73</v>
      </c>
    </row>
    <row r="114" spans="2:15" ht="12.75">
      <c r="B114" t="s">
        <v>34</v>
      </c>
      <c r="D114">
        <f>0.5*h</f>
        <v>12</v>
      </c>
      <c r="G114" t="s">
        <v>35</v>
      </c>
      <c r="I114">
        <f>D116</f>
        <v>22.75</v>
      </c>
      <c r="M114" t="s">
        <v>34</v>
      </c>
      <c r="O114">
        <f>0.5*h</f>
        <v>12</v>
      </c>
    </row>
    <row r="115" spans="2:15" ht="12.75">
      <c r="B115" t="s">
        <v>37</v>
      </c>
      <c r="D115" s="12">
        <v>1.25</v>
      </c>
      <c r="G115" t="s">
        <v>36</v>
      </c>
      <c r="I115" s="12">
        <v>11</v>
      </c>
      <c r="M115" t="s">
        <v>37</v>
      </c>
      <c r="O115" s="12">
        <v>1.25</v>
      </c>
    </row>
    <row r="116" spans="2:15" ht="12.75">
      <c r="B116" t="s">
        <v>35</v>
      </c>
      <c r="D116" s="12">
        <f>h-1.25</f>
        <v>22.75</v>
      </c>
      <c r="G116" t="s">
        <v>35</v>
      </c>
      <c r="I116">
        <f>O116</f>
        <v>22.75</v>
      </c>
      <c r="M116" t="s">
        <v>35</v>
      </c>
      <c r="O116" s="12">
        <f>D116</f>
        <v>22.75</v>
      </c>
    </row>
    <row r="120" spans="2:15" ht="12.75">
      <c r="B120" t="s">
        <v>39</v>
      </c>
      <c r="D120">
        <f>(D114+D116)/2-D115</f>
        <v>16.125</v>
      </c>
      <c r="G120" t="s">
        <v>38</v>
      </c>
      <c r="I120">
        <f>D116-I115</f>
        <v>11.75</v>
      </c>
      <c r="M120" t="s">
        <v>40</v>
      </c>
      <c r="O120">
        <f>(D114+D116)/2-D115</f>
        <v>16.125</v>
      </c>
    </row>
    <row r="126" spans="1:13" ht="12.75">
      <c r="A126" t="s">
        <v>77</v>
      </c>
      <c r="G126" t="s">
        <v>48</v>
      </c>
      <c r="M126" t="s">
        <v>77</v>
      </c>
    </row>
    <row r="127" spans="2:16" ht="12.75">
      <c r="B127" t="s">
        <v>74</v>
      </c>
      <c r="C127" s="5">
        <f>(D85/1000+D69*(C104-b/12)/1000)*P32</f>
        <v>3.0456250000000007</v>
      </c>
      <c r="D127" t="s">
        <v>46</v>
      </c>
      <c r="H127" t="s">
        <v>49</v>
      </c>
      <c r="I127" s="5">
        <f>C132*8*(I120/12)/25^2</f>
        <v>6.673248000000001</v>
      </c>
      <c r="N127" t="s">
        <v>74</v>
      </c>
      <c r="O127" s="5">
        <f>(D85/1000+D69*(N104-b/12)/1000)*P32</f>
        <v>3.0456250000000007</v>
      </c>
      <c r="P127" t="s">
        <v>46</v>
      </c>
    </row>
    <row r="128" spans="2:16" ht="12.75">
      <c r="B128" t="s">
        <v>41</v>
      </c>
      <c r="C128" s="5">
        <f>C127*C103^2/8/(D120/12)</f>
        <v>499.7658139534885</v>
      </c>
      <c r="D128" t="s">
        <v>42</v>
      </c>
      <c r="H128" t="s">
        <v>41</v>
      </c>
      <c r="I128" s="5">
        <f>C127*25^2/8/(I120/12)</f>
        <v>243.00199468085114</v>
      </c>
      <c r="N128" t="s">
        <v>41</v>
      </c>
      <c r="O128" s="5">
        <f>O127*N103^2/8/(O120/12)</f>
        <v>499.7658139534885</v>
      </c>
      <c r="P128" t="s">
        <v>42</v>
      </c>
    </row>
    <row r="130" spans="1:13" ht="12.75">
      <c r="A130" t="s">
        <v>78</v>
      </c>
      <c r="M130" t="s">
        <v>78</v>
      </c>
    </row>
    <row r="131" spans="2:17" ht="13.5">
      <c r="B131" s="1" t="s">
        <v>43</v>
      </c>
      <c r="C131" s="5">
        <f>C128/peff</f>
        <v>18.772662232495247</v>
      </c>
      <c r="D131" s="13" t="s">
        <v>75</v>
      </c>
      <c r="E131" s="31">
        <f>EVEN(ROUNDUP(C131,0))</f>
        <v>20</v>
      </c>
      <c r="F131" t="s">
        <v>209</v>
      </c>
      <c r="N131" s="1" t="s">
        <v>43</v>
      </c>
      <c r="O131" s="5">
        <f>O128/peff</f>
        <v>18.772662232495247</v>
      </c>
      <c r="P131" s="13" t="s">
        <v>75</v>
      </c>
      <c r="Q131" s="12">
        <f>ROUNDUP(O131,0)</f>
        <v>19</v>
      </c>
    </row>
    <row r="132" spans="2:16" ht="12.75">
      <c r="B132" t="s">
        <v>44</v>
      </c>
      <c r="C132" s="5">
        <f>E131*peff</f>
        <v>532.44</v>
      </c>
      <c r="D132" t="s">
        <v>42</v>
      </c>
      <c r="N132" t="s">
        <v>44</v>
      </c>
      <c r="O132" s="5">
        <f>Q131*peff</f>
        <v>505.818</v>
      </c>
      <c r="P132" t="s">
        <v>42</v>
      </c>
    </row>
    <row r="133" spans="2:17" ht="12.75">
      <c r="B133" t="s">
        <v>45</v>
      </c>
      <c r="C133" s="5">
        <f>(C132/C128)*C127</f>
        <v>3.244744897959184</v>
      </c>
      <c r="D133" t="s">
        <v>46</v>
      </c>
      <c r="E133" s="2" t="str">
        <f>IF(C133&lt;(P32*(D85+D69*(28-b/12))/1000),"ok","check")</f>
        <v>check</v>
      </c>
      <c r="N133" t="s">
        <v>45</v>
      </c>
      <c r="O133" s="5">
        <f>(O132/O128)*O127</f>
        <v>3.0825076530612243</v>
      </c>
      <c r="P133" t="s">
        <v>46</v>
      </c>
      <c r="Q133" s="2" t="e">
        <f>IF(O133&lt;(AC33*(O85+O68*(28-b/12))/1000),"ok","check")</f>
        <v>#VALUE!</v>
      </c>
    </row>
    <row r="135" spans="1:13" ht="12.75">
      <c r="A135" t="s">
        <v>76</v>
      </c>
      <c r="M135" t="s">
        <v>76</v>
      </c>
    </row>
    <row r="136" spans="2:17" ht="12.75">
      <c r="B136" t="s">
        <v>47</v>
      </c>
      <c r="C136" s="5">
        <f>C132*1000/atotal</f>
        <v>640.7220216606498</v>
      </c>
      <c r="D136" t="s">
        <v>22</v>
      </c>
      <c r="E136" s="2" t="str">
        <f>IF(C136&lt;K29,"ok","check")</f>
        <v>check</v>
      </c>
      <c r="N136" t="s">
        <v>47</v>
      </c>
      <c r="O136">
        <f>O132*1000/atotal</f>
        <v>608.6859205776174</v>
      </c>
      <c r="P136" t="s">
        <v>22</v>
      </c>
      <c r="Q136" s="2" t="str">
        <f>IF(O136&lt;X29,"ok","check")</f>
        <v>check</v>
      </c>
    </row>
    <row r="142" spans="3:9" ht="12.75">
      <c r="C142" s="2" t="s">
        <v>116</v>
      </c>
      <c r="D142" s="2" t="s">
        <v>117</v>
      </c>
      <c r="E142" s="2" t="s">
        <v>118</v>
      </c>
      <c r="F142" s="2" t="s">
        <v>117</v>
      </c>
      <c r="G142" s="2" t="s">
        <v>119</v>
      </c>
      <c r="H142" s="2" t="s">
        <v>117</v>
      </c>
      <c r="I142" s="2" t="s">
        <v>120</v>
      </c>
    </row>
    <row r="143" spans="2:9" ht="12.75">
      <c r="B143" t="s">
        <v>126</v>
      </c>
      <c r="C143">
        <v>0</v>
      </c>
      <c r="D143" s="5">
        <f>C208</f>
        <v>-43.084731146661355</v>
      </c>
      <c r="E143" s="5">
        <f>D208</f>
        <v>39.055482507861726</v>
      </c>
      <c r="F143" s="5">
        <f>E208</f>
        <v>17.424623132861694</v>
      </c>
      <c r="G143" s="5">
        <f>F208</f>
        <v>39.055482507861726</v>
      </c>
      <c r="H143" s="5">
        <f>G208</f>
        <v>-43.084731146661355</v>
      </c>
      <c r="I143">
        <v>0</v>
      </c>
    </row>
    <row r="144" spans="2:9" ht="12.75">
      <c r="B144" t="s">
        <v>127</v>
      </c>
      <c r="C144">
        <v>0</v>
      </c>
      <c r="D144" s="5">
        <f>C261</f>
        <v>242.17503910626237</v>
      </c>
      <c r="E144" s="5">
        <f>D261</f>
        <v>-169.8429858382292</v>
      </c>
      <c r="F144" s="5">
        <f>E261</f>
        <v>0</v>
      </c>
      <c r="G144" s="5">
        <f>F261</f>
        <v>-169.84298583822903</v>
      </c>
      <c r="H144" s="5">
        <f>G261</f>
        <v>242.1750391062623</v>
      </c>
      <c r="I144">
        <v>0</v>
      </c>
    </row>
    <row r="145" spans="1:9" ht="12.75">
      <c r="A145" t="s">
        <v>129</v>
      </c>
      <c r="B145" t="s">
        <v>128</v>
      </c>
      <c r="C145">
        <v>0</v>
      </c>
      <c r="D145" s="5">
        <f>C291</f>
        <v>210.81277510122476</v>
      </c>
      <c r="E145" s="5">
        <f>D291</f>
        <v>-244.61731985922773</v>
      </c>
      <c r="F145" s="5">
        <f>E291</f>
        <v>26.844870667425766</v>
      </c>
      <c r="G145" s="5">
        <f>F291</f>
        <v>0</v>
      </c>
      <c r="H145" s="5">
        <f>G291</f>
        <v>0</v>
      </c>
      <c r="I145">
        <v>0</v>
      </c>
    </row>
    <row r="146" spans="1:9" ht="12.75">
      <c r="A146" t="s">
        <v>130</v>
      </c>
      <c r="B146" t="s">
        <v>128</v>
      </c>
      <c r="C146" s="5">
        <f aca="true" t="shared" si="0" ref="C146:I146">B319</f>
        <v>0</v>
      </c>
      <c r="D146" s="5">
        <f t="shared" si="0"/>
        <v>0</v>
      </c>
      <c r="E146" s="5">
        <f t="shared" si="0"/>
        <v>0</v>
      </c>
      <c r="F146" s="5">
        <f t="shared" si="0"/>
        <v>26.844870667425766</v>
      </c>
      <c r="G146" s="5">
        <f t="shared" si="0"/>
        <v>-244.61731985922773</v>
      </c>
      <c r="H146" s="5">
        <f t="shared" si="0"/>
        <v>210.81277510122476</v>
      </c>
      <c r="I146" s="5">
        <f t="shared" si="0"/>
        <v>0</v>
      </c>
    </row>
    <row r="149" spans="3:9" ht="12.75">
      <c r="C149" s="46" t="s">
        <v>116</v>
      </c>
      <c r="D149" s="46" t="s">
        <v>117</v>
      </c>
      <c r="E149" s="46" t="s">
        <v>118</v>
      </c>
      <c r="F149" s="46" t="s">
        <v>117</v>
      </c>
      <c r="G149" s="46" t="s">
        <v>119</v>
      </c>
      <c r="H149" s="46" t="s">
        <v>117</v>
      </c>
      <c r="I149" s="46" t="s">
        <v>120</v>
      </c>
    </row>
    <row r="150" spans="2:9" ht="14.25">
      <c r="B150" s="20" t="s">
        <v>233</v>
      </c>
      <c r="C150" s="46">
        <v>0</v>
      </c>
      <c r="D150" s="47">
        <f>D143</f>
        <v>-43.084731146661355</v>
      </c>
      <c r="E150" s="47">
        <f>E143</f>
        <v>39.055482507861726</v>
      </c>
      <c r="F150" s="47">
        <f>F143</f>
        <v>17.424623132861694</v>
      </c>
      <c r="G150" s="47">
        <f>G143</f>
        <v>39.055482507861726</v>
      </c>
      <c r="H150" s="47">
        <f>+H143</f>
        <v>-43.084731146661355</v>
      </c>
      <c r="I150" s="46">
        <v>0</v>
      </c>
    </row>
    <row r="153" ht="12.75">
      <c r="C153" s="5"/>
    </row>
    <row r="154" ht="12.75">
      <c r="C154" s="5"/>
    </row>
    <row r="155" spans="1:8" ht="12.75">
      <c r="A155" t="s">
        <v>136</v>
      </c>
      <c r="C155" s="5"/>
      <c r="H155" t="s">
        <v>236</v>
      </c>
    </row>
    <row r="156" spans="2:10" ht="12.75">
      <c r="B156" s="49">
        <f>C48</f>
        <v>695.9566787003611</v>
      </c>
      <c r="C156" s="11" t="s">
        <v>133</v>
      </c>
      <c r="D156">
        <f>12*1000*MAX(D150:H150)/J85</f>
        <v>99.36029600061298</v>
      </c>
      <c r="E156" s="2" t="s">
        <v>135</v>
      </c>
      <c r="F156">
        <f>B156+D156</f>
        <v>795.316974700974</v>
      </c>
      <c r="H156">
        <f>H33</f>
        <v>1800</v>
      </c>
      <c r="J156" t="str">
        <f>IF(AND(F156&lt;H156,F156&gt;H157),"ok","FAILURE")</f>
        <v>ok</v>
      </c>
    </row>
    <row r="157" spans="2:10" ht="12.75">
      <c r="B157" s="50"/>
      <c r="C157" s="2" t="s">
        <v>134</v>
      </c>
      <c r="D157">
        <f>12*MAX(D150:H150)*1000/J86</f>
        <v>201.77818032128133</v>
      </c>
      <c r="E157" s="2" t="s">
        <v>135</v>
      </c>
      <c r="F157">
        <f>B156-D157</f>
        <v>494.17849837907977</v>
      </c>
      <c r="H157">
        <f>H34</f>
        <v>-328.63353450309967</v>
      </c>
      <c r="J157" t="str">
        <f>IF(AND(F157&lt;H156,F157&gt;H157),"ok","FAILURE")</f>
        <v>ok</v>
      </c>
    </row>
    <row r="158" spans="3:5" ht="12.75">
      <c r="C158" s="2"/>
      <c r="E158" s="2"/>
    </row>
    <row r="159" spans="1:5" ht="12.75">
      <c r="A159" t="s">
        <v>137</v>
      </c>
      <c r="C159" s="2"/>
      <c r="E159" s="2"/>
    </row>
    <row r="160" spans="2:10" ht="12.75">
      <c r="B160" s="49">
        <f>B156</f>
        <v>695.9566787003611</v>
      </c>
      <c r="C160" s="2" t="s">
        <v>134</v>
      </c>
      <c r="D160">
        <f>ABS(12*1000*MIN(D150:H150)/J85)</f>
        <v>109.61102936002314</v>
      </c>
      <c r="E160" s="2" t="s">
        <v>135</v>
      </c>
      <c r="F160">
        <f>B160-D160</f>
        <v>586.3456493403379</v>
      </c>
      <c r="H160">
        <f>H157</f>
        <v>-328.63353450309967</v>
      </c>
      <c r="J160" t="str">
        <f>IF(AND(F160&lt;H156,F160&gt;H157),"ok","FAILURE")</f>
        <v>ok</v>
      </c>
    </row>
    <row r="161" spans="2:10" ht="12.75">
      <c r="B161" s="50"/>
      <c r="C161" s="2" t="s">
        <v>133</v>
      </c>
      <c r="D161">
        <f>ABS(12*1000*MIN(D150:H150)/J86)</f>
        <v>222.59509016832607</v>
      </c>
      <c r="E161" s="2" t="s">
        <v>135</v>
      </c>
      <c r="F161">
        <f>B160+D161</f>
        <v>918.5517688686871</v>
      </c>
      <c r="H161">
        <f>H156</f>
        <v>1800</v>
      </c>
      <c r="J161" t="str">
        <f>IF(AND(F161&lt;H156,F161&gt;H157),"ok","FAILURE")</f>
        <v>ok</v>
      </c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81" spans="2:3" s="8" customFormat="1" ht="12.75">
      <c r="B181" s="17" t="s">
        <v>106</v>
      </c>
      <c r="C181" s="17"/>
    </row>
    <row r="184" ht="12.75">
      <c r="G184" t="s">
        <v>94</v>
      </c>
    </row>
    <row r="185" spans="2:3" ht="12.75">
      <c r="B185" s="2" t="s">
        <v>207</v>
      </c>
      <c r="C185" s="11">
        <f>D110-C127</f>
        <v>-0.2768750000000004</v>
      </c>
    </row>
    <row r="186" spans="8:12" ht="12.75">
      <c r="H186" t="s">
        <v>95</v>
      </c>
      <c r="I186">
        <f>f_1/w</f>
        <v>17.64147199760407</v>
      </c>
      <c r="K186" t="s">
        <v>97</v>
      </c>
      <c r="L186">
        <f>f_1*I186/2</f>
        <v>-43.084731146661355</v>
      </c>
    </row>
    <row r="188" spans="2:12" ht="12.75">
      <c r="B188" s="2" t="s">
        <v>85</v>
      </c>
      <c r="C188" s="2" t="s">
        <v>86</v>
      </c>
      <c r="D188" s="2" t="s">
        <v>87</v>
      </c>
      <c r="H188" t="s">
        <v>96</v>
      </c>
      <c r="I188">
        <f>f_4/w</f>
        <v>17.64147199760407</v>
      </c>
      <c r="K188" t="s">
        <v>97</v>
      </c>
      <c r="L188">
        <f>f_4*I188/2</f>
        <v>-43.084731146661355</v>
      </c>
    </row>
    <row r="189" spans="2:4" ht="12.75">
      <c r="B189" s="2">
        <f>C103</f>
        <v>42</v>
      </c>
      <c r="C189" s="2">
        <f>H103</f>
        <v>25</v>
      </c>
      <c r="D189" s="2">
        <v>42</v>
      </c>
    </row>
    <row r="191" spans="2:7" ht="12.75">
      <c r="B191" s="2" t="s">
        <v>81</v>
      </c>
      <c r="C191" s="2" t="s">
        <v>82</v>
      </c>
      <c r="D191" s="2" t="s">
        <v>83</v>
      </c>
      <c r="E191" s="2" t="s">
        <v>84</v>
      </c>
      <c r="G191" t="s">
        <v>100</v>
      </c>
    </row>
    <row r="192" spans="2:5" ht="12.75">
      <c r="B192" s="11">
        <f>w*(L_1+l_2+l_3)-f_2-f_3-f_4</f>
        <v>-4.884482559336635</v>
      </c>
      <c r="C192" s="11">
        <f>(f_4*C201-C203)/C199</f>
        <v>-10.20520494066339</v>
      </c>
      <c r="D192" s="11">
        <f>(0.5*w*(L_1+l_2+l_3)^2-f_2*L_1-f_4*(L_1+l_2+l_3))/(L_1+l_2)</f>
        <v>-10.205204940663387</v>
      </c>
      <c r="E192" s="11">
        <f>(C202*C199+C203*C198)/(C201*C198-C200*C199)</f>
        <v>-4.884482559336635</v>
      </c>
    </row>
    <row r="193" spans="8:9" ht="12.75">
      <c r="H193" t="s">
        <v>98</v>
      </c>
      <c r="I193">
        <f>f_1*(L_1-I186)/I186</f>
        <v>-6.744267440663384</v>
      </c>
    </row>
    <row r="195" spans="8:9" ht="12.75">
      <c r="H195" t="s">
        <v>99</v>
      </c>
      <c r="I195">
        <f>(f_2-I193)/w</f>
        <v>12.5</v>
      </c>
    </row>
    <row r="197" spans="8:12" ht="12.75">
      <c r="H197" t="s">
        <v>104</v>
      </c>
      <c r="I197">
        <f>f_4*(l_3-I188)/I188</f>
        <v>-6.744267440663384</v>
      </c>
      <c r="K197" t="s">
        <v>97</v>
      </c>
      <c r="L197">
        <f>L186-I193*(L_1-I186)/2+(f_2-I193)*I195/2</f>
        <v>17.424623132861694</v>
      </c>
    </row>
    <row r="198" spans="2:3" ht="15.75">
      <c r="B198" s="6" t="s">
        <v>88</v>
      </c>
      <c r="C198">
        <f>(L_1^2)*(l_2^2)/(3*(L_1+l_2))</f>
        <v>5485.074626865671</v>
      </c>
    </row>
    <row r="199" spans="2:7" ht="15.75">
      <c r="B199" t="s">
        <v>89</v>
      </c>
      <c r="C199">
        <f>(L_1*l_2*l_3*(2*L_1+l_2))/(6*(L_1+l_2))</f>
        <v>11957.462686567163</v>
      </c>
      <c r="G199" t="s">
        <v>101</v>
      </c>
    </row>
    <row r="200" spans="2:3" ht="15.75">
      <c r="B200" t="s">
        <v>90</v>
      </c>
      <c r="C200">
        <f>l_3*L_1*((L_1+l_2)^2-L_1^2)/(6*(L_1+l_2))</f>
        <v>11957.462686567163</v>
      </c>
    </row>
    <row r="201" spans="2:12" ht="15.75">
      <c r="B201" t="s">
        <v>91</v>
      </c>
      <c r="C201">
        <f>l_3^2*(L_1+l_2+l_3)/3</f>
        <v>64092</v>
      </c>
      <c r="H201" s="14" t="s">
        <v>102</v>
      </c>
      <c r="K201" t="s">
        <v>97</v>
      </c>
      <c r="L201">
        <f>L186-I193*(L_1-I186)/2</f>
        <v>39.055482507861726</v>
      </c>
    </row>
    <row r="202" spans="2:3" ht="15.75">
      <c r="B202" t="s">
        <v>92</v>
      </c>
      <c r="C202">
        <f>w*L_1*((L_1+l_2)^4-2*(L_1+l_2)^2*L_1^2+(L_1+l_2)*L_1^3-2*l_3^2*(L_1+l_2)^2+2*l_3^2*L_1^2)/(24*(L_1+l_2))</f>
        <v>2429.707264458959</v>
      </c>
    </row>
    <row r="203" spans="2:12" ht="15.75">
      <c r="B203" t="s">
        <v>93</v>
      </c>
      <c r="C203">
        <f>w*l_3*(4*l_3^2*(L_1+l_2)-(L_1+l_2)^3+3*l_3^3)/24</f>
        <v>-191027.89890625028</v>
      </c>
      <c r="H203" t="s">
        <v>103</v>
      </c>
      <c r="K203" t="s">
        <v>97</v>
      </c>
      <c r="L203">
        <f>f_4*I188/2-I197*(l_3-I188)/2</f>
        <v>39.055482507861726</v>
      </c>
    </row>
    <row r="205" ht="13.5" thickBot="1"/>
    <row r="206" spans="2:8" ht="14.25" thickBot="1" thickTop="1">
      <c r="B206" s="43"/>
      <c r="C206" s="44"/>
      <c r="D206" s="54" t="s">
        <v>115</v>
      </c>
      <c r="E206" s="54"/>
      <c r="F206" s="54"/>
      <c r="G206" s="44"/>
      <c r="H206" s="45"/>
    </row>
    <row r="207" spans="2:8" ht="13.5" thickBot="1">
      <c r="B207" s="40" t="s">
        <v>116</v>
      </c>
      <c r="C207" s="41" t="s">
        <v>117</v>
      </c>
      <c r="D207" s="41" t="s">
        <v>118</v>
      </c>
      <c r="E207" s="41" t="s">
        <v>117</v>
      </c>
      <c r="F207" s="41" t="s">
        <v>119</v>
      </c>
      <c r="G207" s="41" t="s">
        <v>117</v>
      </c>
      <c r="H207" s="42" t="s">
        <v>120</v>
      </c>
    </row>
    <row r="208" spans="2:8" ht="13.5" thickBot="1">
      <c r="B208" s="24">
        <v>0</v>
      </c>
      <c r="C208" s="25">
        <f>L186</f>
        <v>-43.084731146661355</v>
      </c>
      <c r="D208" s="25">
        <f>L201</f>
        <v>39.055482507861726</v>
      </c>
      <c r="E208" s="25">
        <f>L197</f>
        <v>17.424623132861694</v>
      </c>
      <c r="F208" s="25">
        <f>L203</f>
        <v>39.055482507861726</v>
      </c>
      <c r="G208" s="25">
        <f>L188</f>
        <v>-43.084731146661355</v>
      </c>
      <c r="H208" s="26">
        <v>0</v>
      </c>
    </row>
    <row r="209" ht="13.5" thickTop="1"/>
    <row r="211" spans="2:3" s="8" customFormat="1" ht="12.75">
      <c r="B211" s="17" t="s">
        <v>113</v>
      </c>
      <c r="C211" s="17"/>
    </row>
    <row r="213" spans="5:6" ht="12.75">
      <c r="E213" t="s">
        <v>222</v>
      </c>
      <c r="F213">
        <f>wend*l_3+(wend/(2*l_2))*(l_3^2-L_1^2)</f>
        <v>61.23590645868133</v>
      </c>
    </row>
    <row r="214" spans="2:6" ht="12.75">
      <c r="B214" s="2" t="s">
        <v>207</v>
      </c>
      <c r="C214" s="11">
        <f>D109</f>
        <v>1.4579977728257458</v>
      </c>
      <c r="E214" t="s">
        <v>223</v>
      </c>
      <c r="F214">
        <f>wend*(L_1+l_3)-_f2</f>
        <v>61.23590645868133</v>
      </c>
    </row>
    <row r="215" spans="5:6" ht="12.75">
      <c r="E215" t="s">
        <v>224</v>
      </c>
      <c r="F215">
        <f>IF(L_1&gt;l_3,wend*l_2*(L_1^2-l_3^2)/4,wend*l_2*(l_3^2-L_1^2)/4)</f>
        <v>0</v>
      </c>
    </row>
    <row r="216" spans="5:6" ht="12.75">
      <c r="E216" t="s">
        <v>225</v>
      </c>
      <c r="F216">
        <f>IF(L_1&gt;l_3,wend*l_3^2*l_2/2,wend*L_1^2*l_2/2)</f>
        <v>32148.850890807695</v>
      </c>
    </row>
    <row r="217" spans="1:6" ht="12.75">
      <c r="A217" t="s">
        <v>124</v>
      </c>
      <c r="E217" t="s">
        <v>226</v>
      </c>
      <c r="F217">
        <f>wend*L_1^3/6</f>
        <v>18003.35649885231</v>
      </c>
    </row>
    <row r="218" spans="5:6" ht="12.75">
      <c r="E218" t="s">
        <v>227</v>
      </c>
      <c r="F218">
        <f>wend*l_3^3/6</f>
        <v>18003.35649885231</v>
      </c>
    </row>
    <row r="219" spans="2:6" ht="15.75">
      <c r="B219" t="s">
        <v>230</v>
      </c>
      <c r="C219">
        <f>(L_1^2)*(L_1+l_2)/3</f>
        <v>39396</v>
      </c>
      <c r="E219" t="s">
        <v>50</v>
      </c>
      <c r="F219" s="5">
        <f>IF(L_1&gt;l_3,(_a2*l_2/2+_a1*l_2/3)/(_a1+_a2),IF(l_3&gt;L_1,(_a2*l_2/2+_a1*2*l_2/3)/(_a1+_a2),l_2/2))</f>
        <v>12.5</v>
      </c>
    </row>
    <row r="220" spans="2:3" ht="15.75">
      <c r="B220" t="s">
        <v>231</v>
      </c>
      <c r="C220">
        <f>L_1*l_2*l_3/6</f>
        <v>7350</v>
      </c>
    </row>
    <row r="221" spans="2:3" ht="15.75">
      <c r="B221" t="s">
        <v>232</v>
      </c>
      <c r="C221">
        <f>L_1*l_2*l_3/6</f>
        <v>7350</v>
      </c>
    </row>
    <row r="222" spans="2:6" ht="15.75">
      <c r="B222" t="s">
        <v>91</v>
      </c>
      <c r="C222">
        <f>l_3^2*(l_2+l_3)/3</f>
        <v>39396</v>
      </c>
      <c r="E222" t="s">
        <v>220</v>
      </c>
      <c r="F222">
        <f>wend*l_2*(L_1^2+l_3^2)/4</f>
        <v>32148.850890807695</v>
      </c>
    </row>
    <row r="223" spans="2:6" ht="15.75">
      <c r="B223" t="s">
        <v>229</v>
      </c>
      <c r="C223">
        <f>(wend*L_1^4/8+_p1*L_1)</f>
        <v>1242231.5984208095</v>
      </c>
      <c r="E223" t="s">
        <v>228</v>
      </c>
      <c r="F223">
        <f>_p3-_p1</f>
        <v>16074.425445403847</v>
      </c>
    </row>
    <row r="224" spans="2:6" ht="15.75">
      <c r="B224" t="s">
        <v>93</v>
      </c>
      <c r="C224">
        <f>(wend*l_3^4/8+_p2*l_3)</f>
        <v>1242231.5984208095</v>
      </c>
      <c r="E224" t="s">
        <v>221</v>
      </c>
      <c r="F224">
        <f>_p3*(l_2-_y)/l_2</f>
        <v>16074.425445403847</v>
      </c>
    </row>
    <row r="227" spans="2:10" ht="12.75">
      <c r="B227" s="2" t="s">
        <v>81</v>
      </c>
      <c r="C227" s="2" t="s">
        <v>82</v>
      </c>
      <c r="D227" s="2" t="s">
        <v>83</v>
      </c>
      <c r="E227" s="2" t="s">
        <v>84</v>
      </c>
      <c r="G227" s="2"/>
      <c r="H227" s="2"/>
      <c r="I227" s="2"/>
      <c r="J227" s="2"/>
    </row>
    <row r="228" spans="2:10" ht="12.75">
      <c r="B228" s="11">
        <f>(-1*E228*C221+C223)/C219</f>
        <v>26.57407261414473</v>
      </c>
      <c r="C228" s="11">
        <f>wend*(L_1+l_3)-f4end-f3end-f1end</f>
        <v>34.6618338445366</v>
      </c>
      <c r="D228" s="11">
        <f>(f1end*L_1+wend*l_3*(0.5*l_3+l_2)-wend*L_1^2/2-f4end*(l_2+l_3))/l_2</f>
        <v>34.6618338445366</v>
      </c>
      <c r="E228" s="11">
        <f>(C224*C219-C223*C220)/(C222*C219-C221*C220)</f>
        <v>26.574072614144725</v>
      </c>
      <c r="G228" s="11"/>
      <c r="H228" s="11"/>
      <c r="I228" s="11"/>
      <c r="J228" s="11"/>
    </row>
    <row r="229" spans="2:5" ht="12.75">
      <c r="B229" s="11"/>
      <c r="C229" s="11"/>
      <c r="D229" s="11"/>
      <c r="E229" s="11"/>
    </row>
    <row r="230" spans="2:5" ht="12.75">
      <c r="B230" s="11"/>
      <c r="C230" s="11"/>
      <c r="D230" s="11"/>
      <c r="E230" s="11"/>
    </row>
    <row r="233" ht="12.75">
      <c r="B233" t="s">
        <v>94</v>
      </c>
    </row>
    <row r="235" spans="3:7" ht="12.75">
      <c r="C235" t="s">
        <v>95</v>
      </c>
      <c r="D235" s="5">
        <f>f1end/wend</f>
        <v>18.226415094339625</v>
      </c>
      <c r="F235" t="s">
        <v>97</v>
      </c>
      <c r="G235" s="5">
        <f>f1end*x1end/2</f>
        <v>242.17503910626237</v>
      </c>
    </row>
    <row r="236" spans="4:7" ht="12.75">
      <c r="D236" s="5"/>
      <c r="G236" s="5"/>
    </row>
    <row r="237" spans="3:7" ht="12.75">
      <c r="C237" t="s">
        <v>96</v>
      </c>
      <c r="D237" s="5">
        <f>f4end/wend</f>
        <v>18.22641509433962</v>
      </c>
      <c r="F237" t="s">
        <v>97</v>
      </c>
      <c r="G237" s="5">
        <f>f4end*x3end/2</f>
        <v>242.1750391062623</v>
      </c>
    </row>
    <row r="238" ht="12.75">
      <c r="D238" s="5"/>
    </row>
    <row r="239" spans="3:4" ht="12.75">
      <c r="C239" t="s">
        <v>123</v>
      </c>
      <c r="D239" s="5">
        <f>(l_3-x3end)*f4end/x3end</f>
        <v>34.6618338445366</v>
      </c>
    </row>
    <row r="242" spans="2:4" ht="12.75">
      <c r="B242" t="s">
        <v>100</v>
      </c>
      <c r="D242" s="5"/>
    </row>
    <row r="243" ht="12.75">
      <c r="D243" s="5"/>
    </row>
    <row r="244" spans="3:4" ht="12.75">
      <c r="C244" t="s">
        <v>112</v>
      </c>
      <c r="D244" s="5">
        <f>f1end*(L_1-x1end)/x1end</f>
        <v>34.661833844536595</v>
      </c>
    </row>
    <row r="246" spans="3:4" ht="12.75">
      <c r="C246" t="s">
        <v>97</v>
      </c>
      <c r="D246" s="5">
        <f>MAX(E253,E251,0)</f>
        <v>0</v>
      </c>
    </row>
    <row r="249" ht="12.75">
      <c r="B249" t="s">
        <v>101</v>
      </c>
    </row>
    <row r="251" spans="3:5" ht="12.75">
      <c r="C251" s="14" t="s">
        <v>102</v>
      </c>
      <c r="D251" t="s">
        <v>97</v>
      </c>
      <c r="E251" s="5">
        <f>G235-f2primeend*(L_1-x1end)/2</f>
        <v>-169.8429858382292</v>
      </c>
    </row>
    <row r="252" ht="12.75">
      <c r="E252" s="5"/>
    </row>
    <row r="253" spans="3:5" ht="12.75">
      <c r="C253" t="s">
        <v>103</v>
      </c>
      <c r="D253" t="s">
        <v>97</v>
      </c>
      <c r="E253" s="5">
        <f>E251+(f2end-f2primeend)*l_2</f>
        <v>-169.84298583822903</v>
      </c>
    </row>
    <row r="257" ht="12.75">
      <c r="J257" s="5"/>
    </row>
    <row r="258" ht="13.5" thickBot="1">
      <c r="J258" s="5"/>
    </row>
    <row r="259" spans="2:10" ht="14.25" thickBot="1" thickTop="1">
      <c r="B259" s="43"/>
      <c r="C259" s="44"/>
      <c r="D259" s="54" t="s">
        <v>115</v>
      </c>
      <c r="E259" s="54"/>
      <c r="F259" s="54"/>
      <c r="G259" s="44"/>
      <c r="H259" s="45"/>
      <c r="J259" s="5"/>
    </row>
    <row r="260" spans="2:10" ht="13.5" thickBot="1">
      <c r="B260" s="40" t="s">
        <v>116</v>
      </c>
      <c r="C260" s="41" t="s">
        <v>117</v>
      </c>
      <c r="D260" s="41" t="s">
        <v>118</v>
      </c>
      <c r="E260" s="41" t="s">
        <v>117</v>
      </c>
      <c r="F260" s="41" t="s">
        <v>119</v>
      </c>
      <c r="G260" s="41" t="s">
        <v>117</v>
      </c>
      <c r="H260" s="42" t="s">
        <v>120</v>
      </c>
      <c r="J260" s="5"/>
    </row>
    <row r="261" spans="2:10" ht="13.5" thickBot="1">
      <c r="B261" s="24">
        <v>0</v>
      </c>
      <c r="C261" s="25">
        <f>G235</f>
        <v>242.17503910626237</v>
      </c>
      <c r="D261" s="25">
        <f>E251</f>
        <v>-169.8429858382292</v>
      </c>
      <c r="E261" s="25">
        <f>D246</f>
        <v>0</v>
      </c>
      <c r="F261" s="25">
        <f>E253</f>
        <v>-169.84298583822903</v>
      </c>
      <c r="G261" s="25">
        <f>G237</f>
        <v>242.1750391062623</v>
      </c>
      <c r="H261" s="26">
        <v>0</v>
      </c>
      <c r="J261" s="5"/>
    </row>
    <row r="262" ht="13.5" thickTop="1"/>
    <row r="264" spans="2:4" s="8" customFormat="1" ht="12.75">
      <c r="B264" s="16" t="s">
        <v>131</v>
      </c>
      <c r="C264" s="16"/>
      <c r="D264" s="17"/>
    </row>
    <row r="267" spans="2:3" ht="12.75">
      <c r="B267" s="2" t="s">
        <v>207</v>
      </c>
      <c r="C267" s="11">
        <f>D109</f>
        <v>1.4579977728257458</v>
      </c>
    </row>
    <row r="269" spans="1:7" ht="12.75">
      <c r="A269" s="2" t="s">
        <v>81</v>
      </c>
      <c r="B269" s="2" t="s">
        <v>82</v>
      </c>
      <c r="C269" s="2" t="s">
        <v>83</v>
      </c>
      <c r="D269" s="2" t="s">
        <v>84</v>
      </c>
      <c r="G269" t="s">
        <v>94</v>
      </c>
    </row>
    <row r="270" spans="1:4" ht="12.75">
      <c r="A270" s="11">
        <f>_w1*(L_1+l_2)-f_22-f_33-f_44</f>
        <v>24.793731327930473</v>
      </c>
      <c r="B270" s="11">
        <f>(D270*C280-C282)/C278</f>
        <v>64.57725178585378</v>
      </c>
      <c r="C270" s="11">
        <f>-1*(f_44*(L_1+l_2+l_3)+f_22*L_1+-1*_w1*(L_1+l_2)*((L_1+l_2)/2))/(l_2+L_1)</f>
        <v>8.240217843866917</v>
      </c>
      <c r="D270" s="11">
        <f>(C281*C278+C282*C277)/(C280*C277-C279*C278)</f>
        <v>0.0746498216738013</v>
      </c>
    </row>
    <row r="271" spans="8:12" ht="12.75">
      <c r="H271" t="s">
        <v>95</v>
      </c>
      <c r="I271" s="5">
        <f>f_11/_w1</f>
        <v>17.005328670617747</v>
      </c>
      <c r="K271" t="s">
        <v>97</v>
      </c>
      <c r="L271" s="5">
        <f>f_11*I271/2</f>
        <v>210.81277510122476</v>
      </c>
    </row>
    <row r="272" spans="9:12" ht="12.75">
      <c r="I272" s="5"/>
      <c r="L272" s="5"/>
    </row>
    <row r="273" spans="8:12" ht="12.75">
      <c r="H273" t="s">
        <v>96</v>
      </c>
      <c r="I273" s="5">
        <f>ABS(f_44/_w1)</f>
        <v>0.05120023025077909</v>
      </c>
      <c r="K273" t="s">
        <v>97</v>
      </c>
      <c r="L273" s="5">
        <f>MAX(L285,0)</f>
        <v>0</v>
      </c>
    </row>
    <row r="274" spans="9:12" ht="12.75">
      <c r="I274" s="5"/>
      <c r="L274" s="5"/>
    </row>
    <row r="275" spans="1:7" ht="12.75">
      <c r="A275" t="s">
        <v>114</v>
      </c>
      <c r="G275" t="s">
        <v>100</v>
      </c>
    </row>
    <row r="276" spans="9:12" ht="12.75">
      <c r="I276" s="5"/>
      <c r="L276" s="5"/>
    </row>
    <row r="277" spans="2:12" ht="15.75">
      <c r="B277" s="6" t="s">
        <v>88</v>
      </c>
      <c r="C277">
        <f>(L_1^2)*(l_2^2)/(3*(L_1+l_2))</f>
        <v>5485.074626865671</v>
      </c>
      <c r="H277" t="s">
        <v>98</v>
      </c>
      <c r="I277" s="5">
        <f>f_11*(L_1-I271)/I271</f>
        <v>36.44217513075084</v>
      </c>
      <c r="L277" s="5"/>
    </row>
    <row r="278" spans="2:12" ht="15.75">
      <c r="B278" t="s">
        <v>89</v>
      </c>
      <c r="C278">
        <f>(L_1*l_2*l_3*(2*L_1+l_2))/(6*(L_1+l_2))</f>
        <v>11957.462686567163</v>
      </c>
      <c r="I278" s="5"/>
      <c r="L278" s="5"/>
    </row>
    <row r="279" spans="2:12" ht="15.75">
      <c r="B279" t="s">
        <v>90</v>
      </c>
      <c r="C279">
        <f>l_3*L_1*((L_1+l_2)^2-L_1^2)/(6*(L_1+l_2))</f>
        <v>11957.462686567163</v>
      </c>
      <c r="H279" t="s">
        <v>99</v>
      </c>
      <c r="I279" s="5">
        <f>(f_22-I277)/_w1</f>
        <v>19.297064220183504</v>
      </c>
      <c r="K279" t="s">
        <v>97</v>
      </c>
      <c r="L279" s="5">
        <f>L283+(f_22-I277)*I279/2</f>
        <v>26.844870667425766</v>
      </c>
    </row>
    <row r="280" spans="2:3" ht="15.75">
      <c r="B280" t="s">
        <v>91</v>
      </c>
      <c r="C280">
        <f>l_3^2*(L_1+l_2+l_3)/3</f>
        <v>64092</v>
      </c>
    </row>
    <row r="281" spans="2:7" ht="15.75">
      <c r="B281" t="s">
        <v>92</v>
      </c>
      <c r="C281">
        <f>_w1*L_1*((L_1+l_2)^3-2*(L_1+l_2)*(L_1^2)+L_1^3)/24</f>
        <v>353318.42278607906</v>
      </c>
      <c r="G281" t="s">
        <v>101</v>
      </c>
    </row>
    <row r="282" spans="2:3" ht="15.75">
      <c r="B282" t="s">
        <v>93</v>
      </c>
      <c r="C282">
        <f>-1*_w1*(L_1+l_2)^3*l_3/24</f>
        <v>-767395.622259682</v>
      </c>
    </row>
    <row r="283" spans="8:12" ht="12.75">
      <c r="H283" s="14" t="s">
        <v>102</v>
      </c>
      <c r="I283" s="5"/>
      <c r="K283" t="s">
        <v>97</v>
      </c>
      <c r="L283" s="5">
        <f>L271-I277*(L_1-I271)/2</f>
        <v>-244.61731985922773</v>
      </c>
    </row>
    <row r="284" spans="9:12" ht="12.75">
      <c r="I284" s="5"/>
      <c r="L284" s="5"/>
    </row>
    <row r="285" spans="8:12" ht="12.75">
      <c r="H285" t="s">
        <v>103</v>
      </c>
      <c r="I285" s="5"/>
      <c r="K285" t="s">
        <v>97</v>
      </c>
      <c r="L285" s="5">
        <f>MIN(f_44*l_3,0)</f>
        <v>0</v>
      </c>
    </row>
    <row r="286" spans="9:12" ht="12.75">
      <c r="I286" s="5"/>
      <c r="L286" s="5"/>
    </row>
    <row r="288" ht="13.5" thickBot="1"/>
    <row r="289" spans="2:8" ht="14.25" thickBot="1" thickTop="1">
      <c r="B289" s="32"/>
      <c r="C289" s="33"/>
      <c r="D289" s="53" t="s">
        <v>115</v>
      </c>
      <c r="E289" s="53"/>
      <c r="F289" s="53"/>
      <c r="G289" s="33"/>
      <c r="H289" s="34"/>
    </row>
    <row r="290" spans="2:8" ht="13.5" thickBot="1">
      <c r="B290" s="35" t="s">
        <v>116</v>
      </c>
      <c r="C290" s="36" t="s">
        <v>117</v>
      </c>
      <c r="D290" s="36" t="s">
        <v>118</v>
      </c>
      <c r="E290" s="36" t="s">
        <v>117</v>
      </c>
      <c r="F290" s="36" t="s">
        <v>119</v>
      </c>
      <c r="G290" s="36" t="s">
        <v>117</v>
      </c>
      <c r="H290" s="37" t="s">
        <v>120</v>
      </c>
    </row>
    <row r="291" spans="2:8" ht="13.5" thickBot="1">
      <c r="B291" s="38">
        <v>0</v>
      </c>
      <c r="C291" s="25">
        <f>L271</f>
        <v>210.81277510122476</v>
      </c>
      <c r="D291" s="25">
        <f>L283</f>
        <v>-244.61731985922773</v>
      </c>
      <c r="E291" s="25">
        <f>L279</f>
        <v>26.844870667425766</v>
      </c>
      <c r="F291" s="25">
        <f>L285</f>
        <v>0</v>
      </c>
      <c r="G291" s="25">
        <f>L273</f>
        <v>0</v>
      </c>
      <c r="H291" s="39">
        <v>0</v>
      </c>
    </row>
    <row r="292" spans="2:8" ht="13.5" thickTop="1">
      <c r="B292" s="2"/>
      <c r="C292" s="11"/>
      <c r="D292" s="11"/>
      <c r="E292" s="11"/>
      <c r="F292" s="11"/>
      <c r="G292" s="11"/>
      <c r="H292" s="2"/>
    </row>
    <row r="293" spans="2:8" s="8" customFormat="1" ht="12.75">
      <c r="B293" s="16" t="s">
        <v>208</v>
      </c>
      <c r="C293" s="29"/>
      <c r="D293" s="29"/>
      <c r="E293" s="28"/>
      <c r="F293" s="28"/>
      <c r="G293" s="28"/>
      <c r="H293" s="27"/>
    </row>
    <row r="295" spans="1:3" ht="12.75">
      <c r="A295" s="2" t="s">
        <v>121</v>
      </c>
      <c r="B295" s="2" t="s">
        <v>132</v>
      </c>
      <c r="C295" s="2" t="s">
        <v>122</v>
      </c>
    </row>
    <row r="296" spans="1:3" ht="12.75">
      <c r="A296" s="2">
        <f>l_3</f>
        <v>42</v>
      </c>
      <c r="B296" s="2">
        <f>l_2</f>
        <v>25</v>
      </c>
      <c r="C296" s="2">
        <f>L_1</f>
        <v>42</v>
      </c>
    </row>
    <row r="297" spans="2:3" ht="12.75">
      <c r="B297" s="2"/>
      <c r="C297" s="11"/>
    </row>
    <row r="298" ht="12.75">
      <c r="G298" t="s">
        <v>94</v>
      </c>
    </row>
    <row r="299" spans="2:5" ht="12.75">
      <c r="B299" t="s">
        <v>81</v>
      </c>
      <c r="C299" t="s">
        <v>82</v>
      </c>
      <c r="D299" t="s">
        <v>83</v>
      </c>
      <c r="E299" t="s">
        <v>84</v>
      </c>
    </row>
    <row r="300" spans="2:12" ht="12.75">
      <c r="B300" s="5">
        <f>_w1*(l_11+l_22)-f_222-f_333-f_444</f>
        <v>24.793731327930473</v>
      </c>
      <c r="C300" s="5">
        <f>(E300*C309-C311)/C307</f>
        <v>64.57725178585378</v>
      </c>
      <c r="D300" s="5">
        <f>-1*(f_444*(l_11+l_22+l_33)+f_222*l_11+-1*_w1*(l_11+l_22)*((l_11+l_22)/2))/(l_22+l_11)</f>
        <v>8.240217843866917</v>
      </c>
      <c r="E300" s="5">
        <f>(C310*C307+C311*C306)/(C309*C306-C308*C307)</f>
        <v>0.0746498216738013</v>
      </c>
      <c r="H300" t="s">
        <v>95</v>
      </c>
      <c r="I300" s="5">
        <f>f_111/_w1</f>
        <v>17.005328670617747</v>
      </c>
      <c r="K300" t="s">
        <v>97</v>
      </c>
      <c r="L300" s="5">
        <f>f_111*I300/2</f>
        <v>210.81277510122476</v>
      </c>
    </row>
    <row r="301" spans="9:12" ht="12.75">
      <c r="I301" s="5"/>
      <c r="L301" s="5"/>
    </row>
    <row r="302" spans="8:12" ht="12.75">
      <c r="H302" t="s">
        <v>96</v>
      </c>
      <c r="I302" s="5">
        <f>ABS(f_444/_w1)</f>
        <v>0.05120023025077909</v>
      </c>
      <c r="K302" t="s">
        <v>97</v>
      </c>
      <c r="L302" s="5">
        <f>MAX(L314,0)</f>
        <v>0</v>
      </c>
    </row>
    <row r="303" spans="9:12" ht="12.75">
      <c r="I303" s="5"/>
      <c r="L303" s="5"/>
    </row>
    <row r="304" spans="1:7" ht="12.75">
      <c r="A304" t="s">
        <v>114</v>
      </c>
      <c r="G304" t="s">
        <v>100</v>
      </c>
    </row>
    <row r="305" spans="9:12" ht="12.75">
      <c r="I305" s="5"/>
      <c r="L305" s="5"/>
    </row>
    <row r="306" spans="2:12" ht="15.75">
      <c r="B306" s="6" t="s">
        <v>88</v>
      </c>
      <c r="C306">
        <f>(l_11^2)*(l_22^2)/(3*(l_11+l_22))</f>
        <v>5485.074626865671</v>
      </c>
      <c r="H306" t="s">
        <v>98</v>
      </c>
      <c r="I306" s="5">
        <f>f_111*(l_11-I300)/I300</f>
        <v>36.44217513075084</v>
      </c>
      <c r="L306" s="5"/>
    </row>
    <row r="307" spans="2:12" ht="15.75">
      <c r="B307" t="s">
        <v>89</v>
      </c>
      <c r="C307">
        <f>(l_11*l_22*l_33*(2*l_11+l_22))/(6*(l_11+l_22))</f>
        <v>11957.462686567163</v>
      </c>
      <c r="I307" s="5"/>
      <c r="L307" s="5"/>
    </row>
    <row r="308" spans="2:12" ht="15.75">
      <c r="B308" t="s">
        <v>90</v>
      </c>
      <c r="C308">
        <f>l_33*l_11*((l_11+l_22)^2-l_11^2)/(6*(l_11+l_22))</f>
        <v>11957.462686567163</v>
      </c>
      <c r="H308" t="s">
        <v>99</v>
      </c>
      <c r="I308" s="5">
        <f>(f_222-I306)/_w1</f>
        <v>19.297064220183504</v>
      </c>
      <c r="K308" t="s">
        <v>97</v>
      </c>
      <c r="L308" s="5">
        <f>L312+(f_222-I306)*I308/2</f>
        <v>26.844870667425766</v>
      </c>
    </row>
    <row r="309" spans="2:3" ht="15.75">
      <c r="B309" t="s">
        <v>91</v>
      </c>
      <c r="C309">
        <f>l_33^2*(l_11+l_22+l_33)/3</f>
        <v>64092</v>
      </c>
    </row>
    <row r="310" spans="2:7" ht="15.75">
      <c r="B310" t="s">
        <v>92</v>
      </c>
      <c r="C310">
        <f>_w1*l_11*((l_11+l_22)^3-2*(l_11+l_22)*(l_11^2)+l_11^3)/24</f>
        <v>353318.42278607906</v>
      </c>
      <c r="G310" t="s">
        <v>101</v>
      </c>
    </row>
    <row r="311" spans="2:3" ht="15.75">
      <c r="B311" t="s">
        <v>93</v>
      </c>
      <c r="C311">
        <f>-1*_w1*(l_11+l_22)^3*l_33/24</f>
        <v>-767395.622259682</v>
      </c>
    </row>
    <row r="312" spans="8:12" ht="12.75">
      <c r="H312" s="14" t="s">
        <v>102</v>
      </c>
      <c r="I312" s="5"/>
      <c r="K312" t="s">
        <v>97</v>
      </c>
      <c r="L312" s="5">
        <f>L300-I306*(l_11-I300)/2</f>
        <v>-244.61731985922773</v>
      </c>
    </row>
    <row r="313" spans="9:12" ht="12.75">
      <c r="I313" s="5"/>
      <c r="L313" s="5"/>
    </row>
    <row r="314" spans="8:12" ht="12.75">
      <c r="H314" t="s">
        <v>103</v>
      </c>
      <c r="I314" s="5"/>
      <c r="K314" t="s">
        <v>97</v>
      </c>
      <c r="L314" s="5">
        <f>MIN(f_444*l_33,0)</f>
        <v>0</v>
      </c>
    </row>
    <row r="315" spans="9:12" ht="12.75">
      <c r="I315" s="5"/>
      <c r="L315" s="5"/>
    </row>
    <row r="316" ht="13.5" thickBot="1"/>
    <row r="317" spans="2:8" ht="14.25" thickBot="1" thickTop="1">
      <c r="B317" s="21"/>
      <c r="C317" s="22"/>
      <c r="D317" s="52" t="s">
        <v>115</v>
      </c>
      <c r="E317" s="52"/>
      <c r="F317" s="52"/>
      <c r="G317" s="22"/>
      <c r="H317" s="23"/>
    </row>
    <row r="318" spans="2:8" ht="13.5" thickBot="1">
      <c r="B318" s="40" t="s">
        <v>116</v>
      </c>
      <c r="C318" s="41" t="s">
        <v>117</v>
      </c>
      <c r="D318" s="41" t="s">
        <v>118</v>
      </c>
      <c r="E318" s="41" t="s">
        <v>117</v>
      </c>
      <c r="F318" s="41" t="s">
        <v>119</v>
      </c>
      <c r="G318" s="41" t="s">
        <v>117</v>
      </c>
      <c r="H318" s="42" t="s">
        <v>120</v>
      </c>
    </row>
    <row r="319" spans="2:8" ht="13.5" thickBot="1">
      <c r="B319" s="24">
        <v>0</v>
      </c>
      <c r="C319" s="25">
        <f>L302</f>
        <v>0</v>
      </c>
      <c r="D319" s="25">
        <f>L314</f>
        <v>0</v>
      </c>
      <c r="E319" s="25">
        <f>L308</f>
        <v>26.844870667425766</v>
      </c>
      <c r="F319" s="25">
        <f>L312</f>
        <v>-244.61731985922773</v>
      </c>
      <c r="G319" s="25">
        <f>L300</f>
        <v>210.81277510122476</v>
      </c>
      <c r="H319" s="26">
        <v>0</v>
      </c>
    </row>
    <row r="320" ht="13.5" thickTop="1"/>
  </sheetData>
  <mergeCells count="12">
    <mergeCell ref="D317:F317"/>
    <mergeCell ref="D289:F289"/>
    <mergeCell ref="D259:F259"/>
    <mergeCell ref="D206:F206"/>
    <mergeCell ref="B10:C10"/>
    <mergeCell ref="B25:C25"/>
    <mergeCell ref="B72:C72"/>
    <mergeCell ref="B56:C56"/>
    <mergeCell ref="B160:B161"/>
    <mergeCell ref="B156:B157"/>
    <mergeCell ref="B88:C88"/>
    <mergeCell ref="B98:C9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19"/>
  <sheetViews>
    <sheetView workbookViewId="0" topLeftCell="A158">
      <selection activeCell="G73" sqref="G73"/>
    </sheetView>
  </sheetViews>
  <sheetFormatPr defaultColWidth="9.140625" defaultRowHeight="12.75"/>
  <cols>
    <col min="2" max="2" width="11.57421875" style="0" customWidth="1"/>
    <col min="3" max="5" width="10.57421875" style="0" customWidth="1"/>
    <col min="6" max="6" width="9.8515625" style="0" customWidth="1"/>
    <col min="7" max="7" width="16.8515625" style="0" customWidth="1"/>
  </cols>
  <sheetData>
    <row r="4" spans="4:6" ht="12.75">
      <c r="D4" s="20"/>
      <c r="E4" s="20"/>
      <c r="F4" s="20"/>
    </row>
    <row r="10" spans="2:3" s="8" customFormat="1" ht="12.75">
      <c r="B10" s="51" t="s">
        <v>79</v>
      </c>
      <c r="C10" s="51"/>
    </row>
    <row r="14" spans="1:2" ht="15.75">
      <c r="A14" t="s">
        <v>6</v>
      </c>
      <c r="B14" t="s">
        <v>160</v>
      </c>
    </row>
    <row r="15" spans="1:2" ht="15.75">
      <c r="A15" t="s">
        <v>166</v>
      </c>
      <c r="B15" t="s">
        <v>164</v>
      </c>
    </row>
    <row r="16" spans="1:2" ht="15.75">
      <c r="A16" t="s">
        <v>165</v>
      </c>
      <c r="B16" t="s">
        <v>163</v>
      </c>
    </row>
    <row r="17" spans="1:2" ht="15.75">
      <c r="A17" s="1" t="s">
        <v>161</v>
      </c>
      <c r="B17" t="s">
        <v>162</v>
      </c>
    </row>
    <row r="25" spans="2:3" s="8" customFormat="1" ht="12.75">
      <c r="B25" s="51" t="s">
        <v>80</v>
      </c>
      <c r="C25" s="51"/>
    </row>
    <row r="27" spans="1:10" ht="12.75">
      <c r="A27" t="s">
        <v>52</v>
      </c>
      <c r="G27" s="4" t="s">
        <v>26</v>
      </c>
      <c r="J27" t="s">
        <v>30</v>
      </c>
    </row>
    <row r="28" spans="2:11" ht="12.75">
      <c r="B28" t="s">
        <v>53</v>
      </c>
      <c r="C28" s="30">
        <v>110</v>
      </c>
      <c r="D28" t="s">
        <v>21</v>
      </c>
      <c r="J28" t="s">
        <v>31</v>
      </c>
      <c r="K28">
        <v>125</v>
      </c>
    </row>
    <row r="29" spans="2:11" ht="15.75">
      <c r="B29" t="s">
        <v>23</v>
      </c>
      <c r="C29" s="30">
        <v>6000</v>
      </c>
      <c r="D29" t="s">
        <v>22</v>
      </c>
      <c r="G29" s="4" t="s">
        <v>27</v>
      </c>
      <c r="K29">
        <v>300</v>
      </c>
    </row>
    <row r="30" spans="2:4" ht="15.75">
      <c r="B30" t="s">
        <v>24</v>
      </c>
      <c r="C30" s="30">
        <v>3000</v>
      </c>
      <c r="D30" t="s">
        <v>22</v>
      </c>
    </row>
    <row r="31" spans="7:13" ht="12.75">
      <c r="G31" t="s">
        <v>234</v>
      </c>
      <c r="J31" t="s">
        <v>33</v>
      </c>
      <c r="M31" t="s">
        <v>32</v>
      </c>
    </row>
    <row r="32" spans="1:16" ht="12.75">
      <c r="A32" t="s">
        <v>54</v>
      </c>
      <c r="C32" s="2"/>
      <c r="G32" t="s">
        <v>3</v>
      </c>
      <c r="H32">
        <f>fci</f>
        <v>3000</v>
      </c>
      <c r="J32" s="5">
        <v>1.25</v>
      </c>
      <c r="M32" t="s">
        <v>153</v>
      </c>
      <c r="P32" s="12">
        <v>1.1</v>
      </c>
    </row>
    <row r="33" spans="2:8" ht="12.75">
      <c r="B33" t="s">
        <v>4</v>
      </c>
      <c r="C33" s="9">
        <v>60000</v>
      </c>
      <c r="G33" t="s">
        <v>28</v>
      </c>
      <c r="H33">
        <f>0.6*H32</f>
        <v>1800</v>
      </c>
    </row>
    <row r="34" spans="7:8" ht="12.75">
      <c r="G34" t="s">
        <v>29</v>
      </c>
      <c r="H34">
        <f>0.6*H33</f>
        <v>1080</v>
      </c>
    </row>
    <row r="35" spans="1:3" ht="12.75">
      <c r="A35" t="s">
        <v>55</v>
      </c>
      <c r="B35" s="3"/>
      <c r="C35" s="3"/>
    </row>
    <row r="36" spans="2:10" ht="12.75">
      <c r="B36" t="s">
        <v>152</v>
      </c>
      <c r="G36" t="s">
        <v>235</v>
      </c>
      <c r="J36" t="s">
        <v>10</v>
      </c>
    </row>
    <row r="37" spans="2:10" ht="13.5">
      <c r="B37" s="1" t="s">
        <v>5</v>
      </c>
      <c r="D37" s="9">
        <v>0.153</v>
      </c>
      <c r="G37" t="s">
        <v>2</v>
      </c>
      <c r="H37">
        <f>fc</f>
        <v>6000</v>
      </c>
      <c r="J37" t="s">
        <v>12</v>
      </c>
    </row>
    <row r="38" spans="2:8" ht="15.75">
      <c r="B38" s="2" t="s">
        <v>6</v>
      </c>
      <c r="C38" s="12">
        <v>270</v>
      </c>
      <c r="G38" t="s">
        <v>28</v>
      </c>
      <c r="H38">
        <f>0.45*fc</f>
        <v>2700</v>
      </c>
    </row>
    <row r="39" spans="2:8" ht="12.75">
      <c r="B39" t="s">
        <v>7</v>
      </c>
      <c r="E39" s="12">
        <v>15</v>
      </c>
      <c r="G39" t="s">
        <v>29</v>
      </c>
      <c r="H39">
        <f>6*SQRT(fc)</f>
        <v>464.75800154489</v>
      </c>
    </row>
    <row r="40" spans="2:3" ht="12.75">
      <c r="B40" t="s">
        <v>8</v>
      </c>
      <c r="C40">
        <f>0.7*fpu-epl</f>
        <v>174</v>
      </c>
    </row>
    <row r="41" spans="2:3" ht="12.75">
      <c r="B41" t="s">
        <v>9</v>
      </c>
      <c r="C41">
        <f>astrand*fse</f>
        <v>26.622</v>
      </c>
    </row>
    <row r="42" spans="2:6" ht="12.75">
      <c r="B42" t="s">
        <v>157</v>
      </c>
      <c r="C42">
        <f>fse*1000+1*fc/100+10000</f>
        <v>184060</v>
      </c>
      <c r="F42" s="3"/>
    </row>
    <row r="43" spans="2:6" ht="12.75">
      <c r="B43" t="s">
        <v>172</v>
      </c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6" spans="2:3" s="7" customFormat="1" ht="12.75">
      <c r="B56" s="51" t="s">
        <v>20</v>
      </c>
      <c r="C56" s="51"/>
    </row>
    <row r="59" spans="2:4" ht="12.75">
      <c r="B59" s="3"/>
      <c r="C59" s="2" t="s">
        <v>0</v>
      </c>
      <c r="D59" s="2">
        <v>12</v>
      </c>
    </row>
    <row r="60" spans="3:4" ht="12.75">
      <c r="C60" s="2" t="s">
        <v>1</v>
      </c>
      <c r="D60" s="9">
        <v>7</v>
      </c>
    </row>
    <row r="61" spans="3:4" ht="12.75">
      <c r="C61" s="2" t="s">
        <v>19</v>
      </c>
      <c r="D61" s="2">
        <f>hslab*bslab</f>
        <v>84</v>
      </c>
    </row>
    <row r="62" spans="3:4" ht="12.75">
      <c r="C62" s="2" t="s">
        <v>25</v>
      </c>
      <c r="D62" s="2">
        <f>bslab*hslab^2/6</f>
        <v>98</v>
      </c>
    </row>
    <row r="65" spans="3:4" ht="12.75">
      <c r="C65" s="2"/>
      <c r="D65" s="2"/>
    </row>
    <row r="66" spans="2:4" ht="12.75">
      <c r="B66" t="s">
        <v>64</v>
      </c>
      <c r="C66" s="2"/>
      <c r="D66" s="2"/>
    </row>
    <row r="67" spans="3:4" ht="12.75">
      <c r="C67" s="2" t="s">
        <v>53</v>
      </c>
      <c r="D67" s="2">
        <v>110</v>
      </c>
    </row>
    <row r="68" spans="3:7" ht="12.75">
      <c r="C68" s="2" t="s">
        <v>69</v>
      </c>
      <c r="D68" s="2">
        <f>hslab</f>
        <v>7</v>
      </c>
      <c r="E68" t="s">
        <v>70</v>
      </c>
      <c r="F68">
        <f>D68/12</f>
        <v>0.5833333333333334</v>
      </c>
      <c r="G68" t="s">
        <v>71</v>
      </c>
    </row>
    <row r="69" spans="3:5" ht="12.75">
      <c r="C69" s="2" t="s">
        <v>68</v>
      </c>
      <c r="D69" s="11">
        <f>D67*F68</f>
        <v>64.16666666666667</v>
      </c>
      <c r="E69" t="s">
        <v>17</v>
      </c>
    </row>
    <row r="72" spans="2:3" s="8" customFormat="1" ht="12.75">
      <c r="B72" s="51" t="s">
        <v>18</v>
      </c>
      <c r="C72" s="51"/>
    </row>
    <row r="75" spans="16:17" ht="12.75">
      <c r="P75" t="s">
        <v>0</v>
      </c>
      <c r="Q75" t="s">
        <v>1</v>
      </c>
    </row>
    <row r="76" spans="3:15" ht="15.75">
      <c r="C76" s="2" t="s">
        <v>0</v>
      </c>
      <c r="D76" s="10">
        <v>24</v>
      </c>
      <c r="I76" t="s">
        <v>105</v>
      </c>
      <c r="J76">
        <f>MIN(0.25*MIN(C103*12,H103*12,N103*12),16*hslab+b,(C104*12-b)/2)</f>
        <v>75</v>
      </c>
      <c r="O76" t="s">
        <v>210</v>
      </c>
    </row>
    <row r="77" spans="3:15" ht="12.75">
      <c r="C77" s="2" t="s">
        <v>1</v>
      </c>
      <c r="D77" s="10">
        <v>24</v>
      </c>
      <c r="O77" t="s">
        <v>211</v>
      </c>
    </row>
    <row r="78" spans="1:15" ht="12.75">
      <c r="A78" t="s">
        <v>111</v>
      </c>
      <c r="C78" s="2" t="s">
        <v>19</v>
      </c>
      <c r="D78" s="2">
        <f>b*h</f>
        <v>576</v>
      </c>
      <c r="I78" t="s">
        <v>107</v>
      </c>
      <c r="J78">
        <f>(J76-b)*hslab</f>
        <v>357</v>
      </c>
      <c r="L78" t="s">
        <v>51</v>
      </c>
      <c r="M78" s="15">
        <f>(1/12)*(J76-b)*hslab^3</f>
        <v>1457.75</v>
      </c>
      <c r="O78" t="s">
        <v>212</v>
      </c>
    </row>
    <row r="79" spans="3:17" ht="12.75">
      <c r="C79" s="2" t="s">
        <v>25</v>
      </c>
      <c r="D79" s="2">
        <f>b*h^2/6</f>
        <v>2304</v>
      </c>
      <c r="I79" t="s">
        <v>19</v>
      </c>
      <c r="J79">
        <f>a</f>
        <v>576</v>
      </c>
      <c r="L79" t="s">
        <v>51</v>
      </c>
      <c r="M79">
        <f>(1/12)*(b)*h^3</f>
        <v>27648</v>
      </c>
      <c r="O79" t="s">
        <v>213</v>
      </c>
      <c r="P79">
        <v>12</v>
      </c>
      <c r="Q79">
        <v>36</v>
      </c>
    </row>
    <row r="80" spans="2:17" ht="12.75">
      <c r="B80" s="3"/>
      <c r="I80" t="s">
        <v>125</v>
      </c>
      <c r="J80">
        <f>J79+J78</f>
        <v>933</v>
      </c>
      <c r="O80" t="s">
        <v>214</v>
      </c>
      <c r="P80">
        <v>24</v>
      </c>
      <c r="Q80">
        <v>30</v>
      </c>
    </row>
    <row r="81" spans="9:17" ht="12.75">
      <c r="I81" t="s">
        <v>50</v>
      </c>
      <c r="J81" s="5">
        <f>(J78*(h-0.5*hslab)+J79*0.5*h)/(J79+J78)</f>
        <v>15.2524115755627</v>
      </c>
      <c r="O81" t="s">
        <v>215</v>
      </c>
      <c r="P81">
        <v>30</v>
      </c>
      <c r="Q81">
        <v>30</v>
      </c>
    </row>
    <row r="82" spans="2:17" ht="12.75">
      <c r="B82" t="s">
        <v>64</v>
      </c>
      <c r="O82" t="s">
        <v>216</v>
      </c>
      <c r="P82">
        <v>30</v>
      </c>
      <c r="Q82">
        <v>24</v>
      </c>
    </row>
    <row r="83" spans="3:17" ht="12.75">
      <c r="C83" s="2" t="s">
        <v>53</v>
      </c>
      <c r="D83" s="2">
        <v>110</v>
      </c>
      <c r="I83" t="s">
        <v>108</v>
      </c>
      <c r="J83" s="15">
        <f>ABS(J81-0.5*h)^2*J79+J78*(h-0.5*hslab-J81)^2+M79+M78</f>
        <v>45029.55707395499</v>
      </c>
      <c r="O83" t="s">
        <v>217</v>
      </c>
      <c r="P83">
        <v>36</v>
      </c>
      <c r="Q83">
        <v>24</v>
      </c>
    </row>
    <row r="84" spans="3:17" ht="14.25">
      <c r="C84" s="2" t="s">
        <v>65</v>
      </c>
      <c r="D84" s="2">
        <f>a</f>
        <v>576</v>
      </c>
      <c r="E84" t="s">
        <v>67</v>
      </c>
      <c r="F84" s="2">
        <f>D84/144</f>
        <v>4</v>
      </c>
      <c r="G84" t="s">
        <v>72</v>
      </c>
      <c r="O84" t="s">
        <v>218</v>
      </c>
      <c r="P84">
        <v>36</v>
      </c>
      <c r="Q84">
        <v>18</v>
      </c>
    </row>
    <row r="85" spans="3:17" ht="12.75">
      <c r="C85" s="2" t="s">
        <v>66</v>
      </c>
      <c r="D85" s="2">
        <f>F84*D83</f>
        <v>440</v>
      </c>
      <c r="E85" t="s">
        <v>16</v>
      </c>
      <c r="I85" t="s">
        <v>110</v>
      </c>
      <c r="J85" s="15">
        <f>J83/(h-J81)</f>
        <v>5147.6538320161735</v>
      </c>
      <c r="O85" t="s">
        <v>219</v>
      </c>
      <c r="P85">
        <v>48</v>
      </c>
      <c r="Q85">
        <v>18</v>
      </c>
    </row>
    <row r="86" spans="9:10" ht="12.75">
      <c r="I86" t="s">
        <v>109</v>
      </c>
      <c r="J86" s="15">
        <f>J83/J81</f>
        <v>2952.2909771265945</v>
      </c>
    </row>
    <row r="88" spans="2:3" s="8" customFormat="1" ht="12.75">
      <c r="B88" s="51" t="s">
        <v>13</v>
      </c>
      <c r="C88" s="51"/>
    </row>
    <row r="91" spans="2:4" ht="12.75">
      <c r="B91" t="s">
        <v>14</v>
      </c>
      <c r="C91" s="12">
        <v>20</v>
      </c>
      <c r="D91" t="s">
        <v>17</v>
      </c>
    </row>
    <row r="92" spans="2:4" ht="12.75">
      <c r="B92" t="s">
        <v>15</v>
      </c>
      <c r="C92" s="12">
        <v>80</v>
      </c>
      <c r="D92" t="s">
        <v>17</v>
      </c>
    </row>
    <row r="98" spans="2:3" s="8" customFormat="1" ht="12.75">
      <c r="B98" s="51" t="s">
        <v>63</v>
      </c>
      <c r="C98" s="51"/>
    </row>
    <row r="102" spans="2:13" ht="12.75">
      <c r="B102" t="s">
        <v>56</v>
      </c>
      <c r="G102" t="s">
        <v>57</v>
      </c>
      <c r="M102" t="s">
        <v>58</v>
      </c>
    </row>
    <row r="103" spans="2:14" ht="15.75">
      <c r="B103" s="6" t="s">
        <v>59</v>
      </c>
      <c r="C103" s="12">
        <v>42</v>
      </c>
      <c r="G103" s="6" t="s">
        <v>59</v>
      </c>
      <c r="H103" s="12">
        <v>25</v>
      </c>
      <c r="M103" s="6" t="s">
        <v>59</v>
      </c>
      <c r="N103" s="12">
        <v>42</v>
      </c>
    </row>
    <row r="104" spans="2:14" ht="15.75">
      <c r="B104" t="s">
        <v>60</v>
      </c>
      <c r="C104" s="12">
        <v>28</v>
      </c>
      <c r="G104" t="s">
        <v>60</v>
      </c>
      <c r="H104" s="12">
        <v>28</v>
      </c>
      <c r="M104" t="s">
        <v>60</v>
      </c>
      <c r="N104" s="12">
        <v>28</v>
      </c>
    </row>
    <row r="106" spans="2:15" ht="12.75">
      <c r="B106" t="s">
        <v>11</v>
      </c>
      <c r="D106" s="12">
        <v>2</v>
      </c>
      <c r="G106" t="s">
        <v>11</v>
      </c>
      <c r="I106" s="12">
        <v>2</v>
      </c>
      <c r="M106" t="s">
        <v>11</v>
      </c>
      <c r="O106" s="12">
        <v>2</v>
      </c>
    </row>
    <row r="107" spans="2:15" ht="12.75">
      <c r="B107" t="s">
        <v>61</v>
      </c>
      <c r="D107">
        <f>C104*C103</f>
        <v>1176</v>
      </c>
      <c r="G107" t="s">
        <v>61</v>
      </c>
      <c r="I107">
        <f>H104*H103</f>
        <v>700</v>
      </c>
      <c r="M107" t="s">
        <v>61</v>
      </c>
      <c r="O107">
        <f>N104*N103</f>
        <v>1176</v>
      </c>
    </row>
    <row r="108" spans="2:15" ht="12.75">
      <c r="B108" t="s">
        <v>62</v>
      </c>
      <c r="D108" s="5">
        <f>ll*(0.25+15/SQRT(D107*D106))</f>
        <v>44.74358296526967</v>
      </c>
      <c r="G108" t="s">
        <v>62</v>
      </c>
      <c r="I108" s="5">
        <f>ll*(0.25+15/SQRT(I107*I106))</f>
        <v>52.071349029490925</v>
      </c>
      <c r="M108" t="s">
        <v>62</v>
      </c>
      <c r="O108" s="5">
        <f>ll*(0.25+15/SQRT(O107*O106))</f>
        <v>44.74358296526967</v>
      </c>
    </row>
    <row r="109" spans="2:4" ht="12.75">
      <c r="B109" t="s">
        <v>15</v>
      </c>
      <c r="D109" s="5">
        <f>(MAX(l,I108,O108)*C104)/1000</f>
        <v>1.4579977728257458</v>
      </c>
    </row>
    <row r="110" spans="2:4" ht="12.75">
      <c r="B110" t="s">
        <v>139</v>
      </c>
      <c r="D110" s="5">
        <f>C127/P32</f>
        <v>2.1083333333333334</v>
      </c>
    </row>
    <row r="112" ht="12.75">
      <c r="A112" t="s">
        <v>73</v>
      </c>
    </row>
    <row r="114" spans="2:15" ht="12.75">
      <c r="B114" t="s">
        <v>34</v>
      </c>
      <c r="D114">
        <f>0.5*h</f>
        <v>12</v>
      </c>
      <c r="G114" t="s">
        <v>35</v>
      </c>
      <c r="I114">
        <f>D116</f>
        <v>22.75</v>
      </c>
      <c r="M114" t="s">
        <v>34</v>
      </c>
      <c r="O114">
        <f>0.5*h</f>
        <v>12</v>
      </c>
    </row>
    <row r="115" spans="2:15" ht="12.75">
      <c r="B115" t="s">
        <v>37</v>
      </c>
      <c r="D115" s="12">
        <v>3</v>
      </c>
      <c r="G115" t="s">
        <v>36</v>
      </c>
      <c r="I115" s="12">
        <v>11</v>
      </c>
      <c r="M115" t="s">
        <v>37</v>
      </c>
      <c r="O115" s="12">
        <v>3</v>
      </c>
    </row>
    <row r="116" spans="2:15" ht="12.75">
      <c r="B116" t="s">
        <v>35</v>
      </c>
      <c r="D116" s="12">
        <f>h-1.25</f>
        <v>22.75</v>
      </c>
      <c r="G116" t="s">
        <v>35</v>
      </c>
      <c r="I116">
        <f>O116</f>
        <v>22.75</v>
      </c>
      <c r="M116" t="s">
        <v>35</v>
      </c>
      <c r="O116" s="12">
        <f>D116</f>
        <v>22.75</v>
      </c>
    </row>
    <row r="120" spans="2:15" ht="12.75">
      <c r="B120" t="s">
        <v>39</v>
      </c>
      <c r="D120">
        <f>(D114+D116)/2-D115</f>
        <v>14.375</v>
      </c>
      <c r="G120" t="s">
        <v>38</v>
      </c>
      <c r="I120">
        <f>D116-I115</f>
        <v>11.75</v>
      </c>
      <c r="M120" t="s">
        <v>40</v>
      </c>
      <c r="O120">
        <f>(D114+D116)/2-D115</f>
        <v>14.375</v>
      </c>
    </row>
    <row r="126" spans="1:13" ht="12.75">
      <c r="A126" t="s">
        <v>77</v>
      </c>
      <c r="G126" t="s">
        <v>48</v>
      </c>
      <c r="M126" t="s">
        <v>77</v>
      </c>
    </row>
    <row r="127" spans="2:16" ht="12.75">
      <c r="B127" t="s">
        <v>74</v>
      </c>
      <c r="C127" s="5">
        <f>(D85/1000+D69*(C104-b/12)/1000)*P32</f>
        <v>2.319166666666667</v>
      </c>
      <c r="D127" t="s">
        <v>46</v>
      </c>
      <c r="H127" t="s">
        <v>49</v>
      </c>
      <c r="I127" s="5">
        <f>C132*8*(I120/12)/25^2</f>
        <v>6.005923200000001</v>
      </c>
      <c r="N127" t="s">
        <v>74</v>
      </c>
      <c r="O127" s="5">
        <f>(D85/1000+D69*(N104-b/12)/1000)*P32</f>
        <v>2.319166666666667</v>
      </c>
      <c r="P127" t="s">
        <v>46</v>
      </c>
    </row>
    <row r="128" spans="2:16" ht="12.75">
      <c r="B128" t="s">
        <v>41</v>
      </c>
      <c r="C128" s="5">
        <f>C127*C103^2/8/(D120/12)</f>
        <v>426.888</v>
      </c>
      <c r="D128" t="s">
        <v>42</v>
      </c>
      <c r="H128" t="s">
        <v>41</v>
      </c>
      <c r="I128" s="5">
        <f>C127*25^2/8/(I120/12)</f>
        <v>185.0398936170213</v>
      </c>
      <c r="N128" t="s">
        <v>41</v>
      </c>
      <c r="O128" s="5">
        <f>O127*N103^2/8/(O120/12)</f>
        <v>426.888</v>
      </c>
      <c r="P128" t="s">
        <v>42</v>
      </c>
    </row>
    <row r="130" spans="1:13" ht="12.75">
      <c r="A130" t="s">
        <v>78</v>
      </c>
      <c r="M130" t="s">
        <v>78</v>
      </c>
    </row>
    <row r="131" spans="2:17" ht="13.5">
      <c r="B131" s="1" t="s">
        <v>43</v>
      </c>
      <c r="C131" s="5">
        <f>C128/peff</f>
        <v>16.035158891142665</v>
      </c>
      <c r="D131" s="13" t="s">
        <v>75</v>
      </c>
      <c r="E131" s="31">
        <f>EVEN(ROUNDUP(C131,0))</f>
        <v>18</v>
      </c>
      <c r="F131" t="s">
        <v>209</v>
      </c>
      <c r="N131" s="1" t="s">
        <v>43</v>
      </c>
      <c r="O131" s="5">
        <f>O128/peff</f>
        <v>16.035158891142665</v>
      </c>
      <c r="P131" s="13" t="s">
        <v>75</v>
      </c>
      <c r="Q131" s="12">
        <f>ROUNDUP(O131,0)</f>
        <v>17</v>
      </c>
    </row>
    <row r="132" spans="2:16" ht="12.75">
      <c r="B132" t="s">
        <v>44</v>
      </c>
      <c r="C132" s="5">
        <f>E131*peff</f>
        <v>479.196</v>
      </c>
      <c r="D132" t="s">
        <v>42</v>
      </c>
      <c r="N132" t="s">
        <v>44</v>
      </c>
      <c r="O132" s="5">
        <f>Q131*peff</f>
        <v>452.574</v>
      </c>
      <c r="P132" t="s">
        <v>42</v>
      </c>
    </row>
    <row r="133" spans="2:17" ht="12.75">
      <c r="B133" t="s">
        <v>45</v>
      </c>
      <c r="C133" s="5">
        <f>(C132/C128)*C127</f>
        <v>2.6033418367346943</v>
      </c>
      <c r="D133" t="s">
        <v>46</v>
      </c>
      <c r="E133" s="2" t="str">
        <f>IF(C133&lt;(P32*(D85+D69*(28-b/12))/1000),"ok","check")</f>
        <v>check</v>
      </c>
      <c r="N133" t="s">
        <v>45</v>
      </c>
      <c r="O133" s="5">
        <f>(O132/O128)*O127</f>
        <v>2.458711734693878</v>
      </c>
      <c r="P133" t="s">
        <v>46</v>
      </c>
      <c r="Q133" s="2" t="e">
        <f>IF(O133&lt;(AC33*(O85+O68*(28-b/12))/1000),"ok","check")</f>
        <v>#VALUE!</v>
      </c>
    </row>
    <row r="135" spans="1:13" ht="12.75">
      <c r="A135" t="s">
        <v>76</v>
      </c>
      <c r="M135" t="s">
        <v>76</v>
      </c>
    </row>
    <row r="136" spans="2:17" ht="12.75">
      <c r="B136" t="s">
        <v>47</v>
      </c>
      <c r="C136" s="5">
        <f>C132*1000/atotal</f>
        <v>513.6077170418007</v>
      </c>
      <c r="D136" t="s">
        <v>22</v>
      </c>
      <c r="E136" s="2" t="str">
        <f>IF(C136&lt;K29,"ok","check")</f>
        <v>check</v>
      </c>
      <c r="N136" t="s">
        <v>47</v>
      </c>
      <c r="O136">
        <f>O132*1000/atotal</f>
        <v>485.0739549839228</v>
      </c>
      <c r="P136" t="s">
        <v>22</v>
      </c>
      <c r="Q136" s="2" t="str">
        <f>IF(O136&lt;X29,"ok","check")</f>
        <v>check</v>
      </c>
    </row>
    <row r="142" spans="3:9" ht="12.75">
      <c r="C142" s="2" t="s">
        <v>116</v>
      </c>
      <c r="D142" s="2" t="s">
        <v>117</v>
      </c>
      <c r="E142" s="2" t="s">
        <v>118</v>
      </c>
      <c r="F142" s="2" t="s">
        <v>117</v>
      </c>
      <c r="G142" s="2" t="s">
        <v>119</v>
      </c>
      <c r="H142" s="2" t="s">
        <v>117</v>
      </c>
      <c r="I142" s="2" t="s">
        <v>120</v>
      </c>
    </row>
    <row r="143" spans="2:9" ht="12.75">
      <c r="B143" t="s">
        <v>126</v>
      </c>
      <c r="C143">
        <v>0</v>
      </c>
      <c r="D143" s="5">
        <f>C208</f>
        <v>-32.80793673470377</v>
      </c>
      <c r="E143" s="5">
        <f>D208</f>
        <v>29.73976546121584</v>
      </c>
      <c r="F143" s="5">
        <f>E208</f>
        <v>13.268411294549143</v>
      </c>
      <c r="G143" s="5">
        <f>F208</f>
        <v>29.739765461215953</v>
      </c>
      <c r="H143" s="5">
        <f>G208</f>
        <v>-32.807936734703716</v>
      </c>
      <c r="I143">
        <v>0</v>
      </c>
    </row>
    <row r="144" spans="2:9" ht="12.75">
      <c r="B144" t="s">
        <v>127</v>
      </c>
      <c r="C144">
        <v>0</v>
      </c>
      <c r="D144" s="5">
        <f>C261</f>
        <v>242.17503910626237</v>
      </c>
      <c r="E144" s="5">
        <f>D261</f>
        <v>-169.8429858382292</v>
      </c>
      <c r="F144" s="5">
        <f>E261</f>
        <v>0</v>
      </c>
      <c r="G144" s="5">
        <f>F261</f>
        <v>-169.84298583822903</v>
      </c>
      <c r="H144" s="5">
        <f>G261</f>
        <v>242.1750391062623</v>
      </c>
      <c r="I144">
        <v>0</v>
      </c>
    </row>
    <row r="145" spans="1:9" ht="12.75">
      <c r="A145" t="s">
        <v>129</v>
      </c>
      <c r="B145" t="s">
        <v>128</v>
      </c>
      <c r="C145">
        <v>0</v>
      </c>
      <c r="D145" s="5">
        <f>C291</f>
        <v>210.81277510122476</v>
      </c>
      <c r="E145" s="5">
        <f>D291</f>
        <v>-244.61731985922773</v>
      </c>
      <c r="F145" s="5">
        <f>E291</f>
        <v>26.844870667425766</v>
      </c>
      <c r="G145" s="5">
        <f>F291</f>
        <v>0</v>
      </c>
      <c r="H145" s="5">
        <f>G291</f>
        <v>0</v>
      </c>
      <c r="I145">
        <v>0</v>
      </c>
    </row>
    <row r="146" spans="1:9" ht="12.75">
      <c r="A146" t="s">
        <v>130</v>
      </c>
      <c r="B146" t="s">
        <v>128</v>
      </c>
      <c r="C146" s="5">
        <f aca="true" t="shared" si="0" ref="C146:I146">B319</f>
        <v>0</v>
      </c>
      <c r="D146" s="5">
        <f t="shared" si="0"/>
        <v>0</v>
      </c>
      <c r="E146" s="5">
        <f t="shared" si="0"/>
        <v>0</v>
      </c>
      <c r="F146" s="5">
        <f t="shared" si="0"/>
        <v>26.844870667425766</v>
      </c>
      <c r="G146" s="5">
        <f t="shared" si="0"/>
        <v>-244.61731985922773</v>
      </c>
      <c r="H146" s="5">
        <f t="shared" si="0"/>
        <v>210.81277510122476</v>
      </c>
      <c r="I146" s="5">
        <f t="shared" si="0"/>
        <v>0</v>
      </c>
    </row>
    <row r="149" spans="3:9" ht="12.75">
      <c r="C149" s="46" t="s">
        <v>116</v>
      </c>
      <c r="D149" s="46" t="s">
        <v>117</v>
      </c>
      <c r="E149" s="46" t="s">
        <v>118</v>
      </c>
      <c r="F149" s="46" t="s">
        <v>117</v>
      </c>
      <c r="G149" s="46" t="s">
        <v>119</v>
      </c>
      <c r="H149" s="46" t="s">
        <v>117</v>
      </c>
      <c r="I149" s="46" t="s">
        <v>120</v>
      </c>
    </row>
    <row r="150" spans="2:9" ht="14.25">
      <c r="B150" s="20" t="s">
        <v>233</v>
      </c>
      <c r="C150" s="46">
        <v>0</v>
      </c>
      <c r="D150" s="47">
        <f>MAX(D144:D146)+D143</f>
        <v>209.3671023715586</v>
      </c>
      <c r="E150" s="47">
        <f>MIN(E144:E146)+E143</f>
        <v>-214.8775543980119</v>
      </c>
      <c r="F150" s="47">
        <f>MAX(F144:F146)+F143</f>
        <v>40.113281961974906</v>
      </c>
      <c r="G150" s="47">
        <f>MIN(G144:G146)+G143</f>
        <v>-214.8775543980118</v>
      </c>
      <c r="H150" s="47">
        <f>MAX(H144:H146)+H143</f>
        <v>209.3671023715586</v>
      </c>
      <c r="I150" s="46">
        <v>0</v>
      </c>
    </row>
    <row r="153" ht="12.75">
      <c r="C153" s="5"/>
    </row>
    <row r="154" ht="12.75">
      <c r="C154" s="5"/>
    </row>
    <row r="155" spans="1:8" ht="12.75">
      <c r="A155" t="s">
        <v>136</v>
      </c>
      <c r="C155" s="5"/>
      <c r="H155" t="s">
        <v>236</v>
      </c>
    </row>
    <row r="156" spans="2:10" ht="12.75">
      <c r="B156" s="50">
        <f>C136</f>
        <v>513.6077170418007</v>
      </c>
      <c r="C156" s="11" t="s">
        <v>133</v>
      </c>
      <c r="D156">
        <f>12*1000*MAX(D150:H150)/J85</f>
        <v>488.06802291805883</v>
      </c>
      <c r="E156" s="2" t="s">
        <v>135</v>
      </c>
      <c r="F156">
        <f>B156+D156</f>
        <v>1001.6757399598596</v>
      </c>
      <c r="H156">
        <f>H38</f>
        <v>2700</v>
      </c>
      <c r="J156" s="20" t="str">
        <f>IF(AND(F156&lt;H156,F156&gt;H157),"ok","FAILED")</f>
        <v>ok</v>
      </c>
    </row>
    <row r="157" spans="2:10" ht="12.75">
      <c r="B157" s="50"/>
      <c r="C157" s="2" t="s">
        <v>134</v>
      </c>
      <c r="D157">
        <f>12*MAX(D150:H150)*1000/J86</f>
        <v>851.0018991772881</v>
      </c>
      <c r="E157" s="2" t="s">
        <v>135</v>
      </c>
      <c r="F157">
        <f>B156-D157</f>
        <v>-337.3941821354874</v>
      </c>
      <c r="H157">
        <f>-1*H39</f>
        <v>-464.75800154489</v>
      </c>
      <c r="J157" s="20" t="str">
        <f>IF(AND(F157&lt;H156,F157&gt;H157),"ok","FAILED")</f>
        <v>ok</v>
      </c>
    </row>
    <row r="158" spans="3:10" ht="12.75">
      <c r="C158" s="2"/>
      <c r="E158" s="2"/>
      <c r="J158" s="20"/>
    </row>
    <row r="159" spans="1:10" ht="12.75">
      <c r="A159" t="s">
        <v>137</v>
      </c>
      <c r="C159" s="2"/>
      <c r="E159" s="2"/>
      <c r="J159" s="20"/>
    </row>
    <row r="160" spans="2:10" ht="12.75">
      <c r="B160" s="50">
        <f>C136</f>
        <v>513.6077170418007</v>
      </c>
      <c r="C160" s="2" t="s">
        <v>134</v>
      </c>
      <c r="D160">
        <f>ABS(12*1000*MIN(D150:H150)/J85)</f>
        <v>500.91376322525826</v>
      </c>
      <c r="E160" s="2" t="s">
        <v>135</v>
      </c>
      <c r="F160">
        <f>B160-D160</f>
        <v>12.693953816542432</v>
      </c>
      <c r="H160">
        <f>H157</f>
        <v>-464.75800154489</v>
      </c>
      <c r="J160" s="20" t="str">
        <f>IF(AND(F160&lt;H156,F160&gt;H157),"ok","FAILED")</f>
        <v>ok</v>
      </c>
    </row>
    <row r="161" spans="2:10" ht="12.75">
      <c r="B161" s="50"/>
      <c r="C161" s="2" t="s">
        <v>133</v>
      </c>
      <c r="D161">
        <f>ABS(12*1000*MIN(D150:H150)/J86)</f>
        <v>873.3999029071908</v>
      </c>
      <c r="E161" s="2" t="s">
        <v>135</v>
      </c>
      <c r="F161">
        <f>B160+D161</f>
        <v>1387.0076199489915</v>
      </c>
      <c r="H161">
        <f>H156</f>
        <v>2700</v>
      </c>
      <c r="J161" s="20" t="str">
        <f>IF(AND(F161&lt;H156,F161&gt;H157),"ok","FAILED")</f>
        <v>ok</v>
      </c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81" spans="2:3" s="8" customFormat="1" ht="12.75">
      <c r="B181" s="17" t="s">
        <v>106</v>
      </c>
      <c r="C181" s="17"/>
    </row>
    <row r="184" ht="12.75">
      <c r="G184" t="s">
        <v>94</v>
      </c>
    </row>
    <row r="185" spans="2:3" ht="12.75">
      <c r="B185" s="2" t="s">
        <v>207</v>
      </c>
      <c r="C185" s="11">
        <f>D110-C127</f>
        <v>-0.21083333333333343</v>
      </c>
    </row>
    <row r="186" spans="8:12" ht="12.75">
      <c r="H186" t="s">
        <v>95</v>
      </c>
      <c r="I186">
        <f>f_1/w</f>
        <v>17.641471997604086</v>
      </c>
      <c r="K186" t="s">
        <v>97</v>
      </c>
      <c r="L186">
        <f>f_1*I186/2</f>
        <v>-32.80793673470377</v>
      </c>
    </row>
    <row r="188" spans="2:12" ht="12.75">
      <c r="B188" s="2" t="s">
        <v>85</v>
      </c>
      <c r="C188" s="2" t="s">
        <v>86</v>
      </c>
      <c r="D188" s="2" t="s">
        <v>87</v>
      </c>
      <c r="H188" t="s">
        <v>96</v>
      </c>
      <c r="I188">
        <f>f_4/w</f>
        <v>17.64147199760407</v>
      </c>
      <c r="K188" t="s">
        <v>97</v>
      </c>
      <c r="L188">
        <f>f_4*I188/2</f>
        <v>-32.807936734703716</v>
      </c>
    </row>
    <row r="189" spans="2:4" ht="12.75">
      <c r="B189" s="2">
        <f>C103</f>
        <v>42</v>
      </c>
      <c r="C189" s="2">
        <f>H103</f>
        <v>25</v>
      </c>
      <c r="D189" s="2">
        <v>42</v>
      </c>
    </row>
    <row r="191" spans="2:7" ht="12.75">
      <c r="B191" s="2" t="s">
        <v>81</v>
      </c>
      <c r="C191" s="2" t="s">
        <v>82</v>
      </c>
      <c r="D191" s="2" t="s">
        <v>83</v>
      </c>
      <c r="E191" s="2" t="s">
        <v>84</v>
      </c>
      <c r="G191" t="s">
        <v>100</v>
      </c>
    </row>
    <row r="192" spans="2:5" ht="12.75">
      <c r="B192" s="11">
        <f>w*(L_1+l_2+l_3)-f_2-f_3-f_4</f>
        <v>-3.71941034616153</v>
      </c>
      <c r="C192" s="11">
        <f>(f_4*C201-C203)/C199</f>
        <v>-7.771006320505144</v>
      </c>
      <c r="D192" s="11">
        <f>(0.5*w*(L_1+l_2+l_3)^2-f_2*L_1-f_4*(L_1+l_2+l_3))/(L_1+l_2)</f>
        <v>-7.771006320505143</v>
      </c>
      <c r="E192" s="11">
        <f>(C202*C199+C203*C198)/(C201*C198-C200*C199)</f>
        <v>-3.7194103461615264</v>
      </c>
    </row>
    <row r="193" spans="8:9" ht="12.75">
      <c r="H193" t="s">
        <v>98</v>
      </c>
      <c r="I193">
        <f>f_1*(L_1-I186)/I186</f>
        <v>-5.135589653838474</v>
      </c>
    </row>
    <row r="195" spans="8:9" ht="12.75">
      <c r="H195" t="s">
        <v>99</v>
      </c>
      <c r="I195">
        <f>(f_2-I193)/w</f>
        <v>12.500000000000009</v>
      </c>
    </row>
    <row r="197" spans="8:12" ht="12.75">
      <c r="H197" t="s">
        <v>104</v>
      </c>
      <c r="I197">
        <f>f_4*(l_3-I188)/I188</f>
        <v>-5.135589653838476</v>
      </c>
      <c r="K197" t="s">
        <v>97</v>
      </c>
      <c r="L197">
        <f>L186-I193*(L_1-I186)/2+(f_2-I193)*I195/2</f>
        <v>13.268411294549143</v>
      </c>
    </row>
    <row r="198" spans="2:3" ht="15.75">
      <c r="B198" s="6" t="s">
        <v>88</v>
      </c>
      <c r="C198">
        <f>(L_1^2)*(l_2^2)/(3*(L_1+l_2))</f>
        <v>5485.074626865671</v>
      </c>
    </row>
    <row r="199" spans="2:7" ht="15.75">
      <c r="B199" t="s">
        <v>89</v>
      </c>
      <c r="C199">
        <f>(L_1*l_2*l_3*(2*L_1+l_2))/(6*(L_1+l_2))</f>
        <v>11957.462686567163</v>
      </c>
      <c r="G199" t="s">
        <v>101</v>
      </c>
    </row>
    <row r="200" spans="2:3" ht="15.75">
      <c r="B200" t="s">
        <v>90</v>
      </c>
      <c r="C200">
        <f>l_3*L_1*((L_1+l_2)^2-L_1^2)/(6*(L_1+l_2))</f>
        <v>11957.462686567163</v>
      </c>
    </row>
    <row r="201" spans="2:12" ht="15.75">
      <c r="B201" t="s">
        <v>91</v>
      </c>
      <c r="C201">
        <f>l_3^2*(L_1+l_2+l_3)/3</f>
        <v>64092</v>
      </c>
      <c r="H201" s="14" t="s">
        <v>102</v>
      </c>
      <c r="K201" t="s">
        <v>97</v>
      </c>
      <c r="L201">
        <f>L186-I193*(L_1-I186)/2</f>
        <v>29.73976546121584</v>
      </c>
    </row>
    <row r="202" spans="2:3" ht="15.75">
      <c r="B202" t="s">
        <v>92</v>
      </c>
      <c r="C202">
        <f>w*L_1*((L_1+l_2)^4-2*(L_1+l_2)^2*L_1^2+(L_1+l_2)*L_1^3-2*l_3^2*(L_1+l_2)^2+2*l_3^2*L_1^2)/(24*(L_1+l_2))</f>
        <v>1850.1608364427868</v>
      </c>
    </row>
    <row r="203" spans="2:12" ht="15.75">
      <c r="B203" t="s">
        <v>93</v>
      </c>
      <c r="C203">
        <f>w*l_3*(4*l_3^2*(L_1+l_2)-(L_1+l_2)^3+3*l_3^3)/24</f>
        <v>-145462.9297916667</v>
      </c>
      <c r="H203" t="s">
        <v>103</v>
      </c>
      <c r="K203" t="s">
        <v>97</v>
      </c>
      <c r="L203">
        <f>f_4*I188/2-I197*(l_3-I188)/2</f>
        <v>29.739765461215953</v>
      </c>
    </row>
    <row r="205" ht="13.5" thickBot="1"/>
    <row r="206" spans="2:8" ht="14.25" thickBot="1" thickTop="1">
      <c r="B206" s="43"/>
      <c r="C206" s="44"/>
      <c r="D206" s="54" t="s">
        <v>115</v>
      </c>
      <c r="E206" s="54"/>
      <c r="F206" s="54"/>
      <c r="G206" s="44"/>
      <c r="H206" s="45"/>
    </row>
    <row r="207" spans="2:8" ht="13.5" thickBot="1">
      <c r="B207" s="40" t="s">
        <v>116</v>
      </c>
      <c r="C207" s="41" t="s">
        <v>117</v>
      </c>
      <c r="D207" s="41" t="s">
        <v>118</v>
      </c>
      <c r="E207" s="41" t="s">
        <v>117</v>
      </c>
      <c r="F207" s="41" t="s">
        <v>119</v>
      </c>
      <c r="G207" s="41" t="s">
        <v>117</v>
      </c>
      <c r="H207" s="42" t="s">
        <v>120</v>
      </c>
    </row>
    <row r="208" spans="2:8" ht="13.5" thickBot="1">
      <c r="B208" s="24">
        <v>0</v>
      </c>
      <c r="C208" s="25">
        <f>L186</f>
        <v>-32.80793673470377</v>
      </c>
      <c r="D208" s="25">
        <f>L201</f>
        <v>29.73976546121584</v>
      </c>
      <c r="E208" s="25">
        <f>L197</f>
        <v>13.268411294549143</v>
      </c>
      <c r="F208" s="25">
        <f>L203</f>
        <v>29.739765461215953</v>
      </c>
      <c r="G208" s="25">
        <f>L188</f>
        <v>-32.807936734703716</v>
      </c>
      <c r="H208" s="26">
        <v>0</v>
      </c>
    </row>
    <row r="209" ht="13.5" thickTop="1"/>
    <row r="211" spans="2:3" s="8" customFormat="1" ht="12.75">
      <c r="B211" s="17" t="s">
        <v>113</v>
      </c>
      <c r="C211" s="17"/>
    </row>
    <row r="213" spans="5:6" ht="12.75">
      <c r="E213" t="s">
        <v>222</v>
      </c>
      <c r="F213">
        <f>wend*l_3+(wend/(2*l_2))*(l_3^2-L_1^2)</f>
        <v>61.23590645868133</v>
      </c>
    </row>
    <row r="214" spans="2:6" ht="12.75">
      <c r="B214" s="2" t="s">
        <v>207</v>
      </c>
      <c r="C214" s="11">
        <f>D109</f>
        <v>1.4579977728257458</v>
      </c>
      <c r="E214" t="s">
        <v>223</v>
      </c>
      <c r="F214">
        <f>wend*(L_1+l_3)-_f2</f>
        <v>61.23590645868133</v>
      </c>
    </row>
    <row r="215" spans="5:6" ht="12.75">
      <c r="E215" t="s">
        <v>224</v>
      </c>
      <c r="F215">
        <f>IF(L_1&gt;l_3,wend*l_2*(L_1^2-l_3^2)/4,wend*l_2*(l_3^2-L_1^2)/4)</f>
        <v>0</v>
      </c>
    </row>
    <row r="216" spans="5:6" ht="12.75">
      <c r="E216" t="s">
        <v>225</v>
      </c>
      <c r="F216">
        <f>IF(L_1&gt;l_3,wend*l_3^2*l_2/2,wend*L_1^2*l_2/2)</f>
        <v>32148.850890807695</v>
      </c>
    </row>
    <row r="217" spans="1:6" ht="12.75">
      <c r="A217" t="s">
        <v>124</v>
      </c>
      <c r="E217" t="s">
        <v>226</v>
      </c>
      <c r="F217">
        <f>wend*L_1^3/6</f>
        <v>18003.35649885231</v>
      </c>
    </row>
    <row r="218" spans="5:6" ht="12.75">
      <c r="E218" t="s">
        <v>227</v>
      </c>
      <c r="F218">
        <f>wend*l_3^3/6</f>
        <v>18003.35649885231</v>
      </c>
    </row>
    <row r="219" spans="2:6" ht="15.75">
      <c r="B219" t="s">
        <v>230</v>
      </c>
      <c r="C219">
        <f>(L_1^2)*(L_1+l_2)/3</f>
        <v>39396</v>
      </c>
      <c r="E219" t="s">
        <v>50</v>
      </c>
      <c r="F219" s="5">
        <f>IF(L_1&gt;l_3,(_a2*l_2/2+_a1*l_2/3)/(_a1+_a2),IF(l_3&gt;L_1,(_a2*l_2/2+_a1*2*l_2/3)/(_a1+_a2),l_2/2))</f>
        <v>12.5</v>
      </c>
    </row>
    <row r="220" spans="2:3" ht="15.75">
      <c r="B220" t="s">
        <v>231</v>
      </c>
      <c r="C220">
        <f>L_1*l_2*l_3/6</f>
        <v>7350</v>
      </c>
    </row>
    <row r="221" spans="2:3" ht="15.75">
      <c r="B221" t="s">
        <v>232</v>
      </c>
      <c r="C221">
        <f>L_1*l_2*l_3/6</f>
        <v>7350</v>
      </c>
    </row>
    <row r="222" spans="2:6" ht="15.75">
      <c r="B222" t="s">
        <v>91</v>
      </c>
      <c r="C222">
        <f>l_3^2*(l_2+l_3)/3</f>
        <v>39396</v>
      </c>
      <c r="E222" t="s">
        <v>220</v>
      </c>
      <c r="F222">
        <f>wend*l_2*(L_1^2+l_3^2)/4</f>
        <v>32148.850890807695</v>
      </c>
    </row>
    <row r="223" spans="2:6" ht="15.75">
      <c r="B223" t="s">
        <v>229</v>
      </c>
      <c r="C223">
        <f>(wend*L_1^4/8+_p1*L_1)</f>
        <v>1242231.5984208095</v>
      </c>
      <c r="E223" t="s">
        <v>228</v>
      </c>
      <c r="F223">
        <f>_p3-_p1</f>
        <v>16074.425445403847</v>
      </c>
    </row>
    <row r="224" spans="2:6" ht="15.75">
      <c r="B224" t="s">
        <v>93</v>
      </c>
      <c r="C224">
        <f>(wend*l_3^4/8+_p2*l_3)</f>
        <v>1242231.5984208095</v>
      </c>
      <c r="E224" t="s">
        <v>221</v>
      </c>
      <c r="F224">
        <f>_p3*(l_2-_y)/l_2</f>
        <v>16074.425445403847</v>
      </c>
    </row>
    <row r="227" spans="2:10" ht="12.75">
      <c r="B227" s="2" t="s">
        <v>81</v>
      </c>
      <c r="C227" s="2" t="s">
        <v>82</v>
      </c>
      <c r="D227" s="2" t="s">
        <v>83</v>
      </c>
      <c r="E227" s="2" t="s">
        <v>84</v>
      </c>
      <c r="G227" s="2"/>
      <c r="H227" s="2"/>
      <c r="I227" s="2"/>
      <c r="J227" s="2"/>
    </row>
    <row r="228" spans="2:10" ht="12.75">
      <c r="B228" s="11">
        <f>(-1*E228*C221+C223)/C219</f>
        <v>26.57407261414473</v>
      </c>
      <c r="C228" s="11">
        <f>wend*(L_1+l_3)-f4end-f3end-f1end</f>
        <v>34.6618338445366</v>
      </c>
      <c r="D228" s="11">
        <f>(f1end*L_1+wend*l_3*(0.5*l_3+l_2)-wend*L_1^2/2-f4end*(l_2+l_3))/l_2</f>
        <v>34.6618338445366</v>
      </c>
      <c r="E228" s="11">
        <f>(C224*C219-C223*C220)/(C222*C219-C221*C220)</f>
        <v>26.574072614144725</v>
      </c>
      <c r="G228" s="11"/>
      <c r="H228" s="11"/>
      <c r="I228" s="11"/>
      <c r="J228" s="11"/>
    </row>
    <row r="229" spans="2:5" ht="12.75">
      <c r="B229" s="11"/>
      <c r="C229" s="11"/>
      <c r="D229" s="11"/>
      <c r="E229" s="11"/>
    </row>
    <row r="230" spans="2:5" ht="12.75">
      <c r="B230" s="11"/>
      <c r="C230" s="11"/>
      <c r="D230" s="11"/>
      <c r="E230" s="11"/>
    </row>
    <row r="233" ht="12.75">
      <c r="B233" t="s">
        <v>94</v>
      </c>
    </row>
    <row r="235" spans="3:7" ht="12.75">
      <c r="C235" t="s">
        <v>95</v>
      </c>
      <c r="D235" s="5">
        <f>f1end/wend</f>
        <v>18.226415094339625</v>
      </c>
      <c r="F235" t="s">
        <v>97</v>
      </c>
      <c r="G235" s="5">
        <f>f1end*x1end/2</f>
        <v>242.17503910626237</v>
      </c>
    </row>
    <row r="236" spans="4:7" ht="12.75">
      <c r="D236" s="5"/>
      <c r="G236" s="5"/>
    </row>
    <row r="237" spans="3:7" ht="12.75">
      <c r="C237" t="s">
        <v>96</v>
      </c>
      <c r="D237" s="5">
        <f>f4end/wend</f>
        <v>18.22641509433962</v>
      </c>
      <c r="F237" t="s">
        <v>97</v>
      </c>
      <c r="G237" s="5">
        <f>f4end*x3end/2</f>
        <v>242.1750391062623</v>
      </c>
    </row>
    <row r="238" ht="12.75">
      <c r="D238" s="5"/>
    </row>
    <row r="239" spans="3:4" ht="12.75">
      <c r="C239" t="s">
        <v>123</v>
      </c>
      <c r="D239" s="5">
        <f>(l_3-x3end)*f4end/x3end</f>
        <v>34.6618338445366</v>
      </c>
    </row>
    <row r="242" spans="2:4" ht="12.75">
      <c r="B242" t="s">
        <v>100</v>
      </c>
      <c r="D242" s="5"/>
    </row>
    <row r="243" ht="12.75">
      <c r="D243" s="5"/>
    </row>
    <row r="244" spans="3:4" ht="12.75">
      <c r="C244" t="s">
        <v>112</v>
      </c>
      <c r="D244" s="5">
        <f>f1end*(L_1-x1end)/x1end</f>
        <v>34.661833844536595</v>
      </c>
    </row>
    <row r="246" spans="3:4" ht="12.75">
      <c r="C246" t="s">
        <v>97</v>
      </c>
      <c r="D246" s="5">
        <f>MAX(E253,E251,0)</f>
        <v>0</v>
      </c>
    </row>
    <row r="249" ht="12.75">
      <c r="B249" t="s">
        <v>101</v>
      </c>
    </row>
    <row r="251" spans="3:5" ht="12.75">
      <c r="C251" s="14" t="s">
        <v>102</v>
      </c>
      <c r="D251" t="s">
        <v>97</v>
      </c>
      <c r="E251" s="5">
        <f>G235-f2primeend*(L_1-x1end)/2</f>
        <v>-169.8429858382292</v>
      </c>
    </row>
    <row r="252" ht="12.75">
      <c r="E252" s="5"/>
    </row>
    <row r="253" spans="3:5" ht="12.75">
      <c r="C253" t="s">
        <v>103</v>
      </c>
      <c r="D253" t="s">
        <v>97</v>
      </c>
      <c r="E253" s="5">
        <f>E251+(f2end-f2primeend)*l_2</f>
        <v>-169.84298583822903</v>
      </c>
    </row>
    <row r="257" ht="12.75">
      <c r="J257" s="5"/>
    </row>
    <row r="258" ht="13.5" thickBot="1">
      <c r="J258" s="5"/>
    </row>
    <row r="259" spans="2:10" ht="14.25" thickBot="1" thickTop="1">
      <c r="B259" s="43"/>
      <c r="C259" s="44"/>
      <c r="D259" s="54" t="s">
        <v>115</v>
      </c>
      <c r="E259" s="54"/>
      <c r="F259" s="54"/>
      <c r="G259" s="44"/>
      <c r="H259" s="45"/>
      <c r="J259" s="5"/>
    </row>
    <row r="260" spans="2:10" ht="13.5" thickBot="1">
      <c r="B260" s="40" t="s">
        <v>116</v>
      </c>
      <c r="C260" s="41" t="s">
        <v>117</v>
      </c>
      <c r="D260" s="41" t="s">
        <v>118</v>
      </c>
      <c r="E260" s="41" t="s">
        <v>117</v>
      </c>
      <c r="F260" s="41" t="s">
        <v>119</v>
      </c>
      <c r="G260" s="41" t="s">
        <v>117</v>
      </c>
      <c r="H260" s="42" t="s">
        <v>120</v>
      </c>
      <c r="J260" s="5"/>
    </row>
    <row r="261" spans="2:10" ht="13.5" thickBot="1">
      <c r="B261" s="24">
        <v>0</v>
      </c>
      <c r="C261" s="25">
        <f>G235</f>
        <v>242.17503910626237</v>
      </c>
      <c r="D261" s="25">
        <f>E251</f>
        <v>-169.8429858382292</v>
      </c>
      <c r="E261" s="25">
        <f>D246</f>
        <v>0</v>
      </c>
      <c r="F261" s="25">
        <f>E253</f>
        <v>-169.84298583822903</v>
      </c>
      <c r="G261" s="25">
        <f>G237</f>
        <v>242.1750391062623</v>
      </c>
      <c r="H261" s="26">
        <v>0</v>
      </c>
      <c r="J261" s="5"/>
    </row>
    <row r="262" ht="13.5" thickTop="1"/>
    <row r="264" spans="2:4" s="8" customFormat="1" ht="12.75">
      <c r="B264" s="16" t="s">
        <v>131</v>
      </c>
      <c r="C264" s="16"/>
      <c r="D264" s="17"/>
    </row>
    <row r="267" spans="2:3" ht="12.75">
      <c r="B267" s="2" t="s">
        <v>207</v>
      </c>
      <c r="C267" s="11">
        <f>D109</f>
        <v>1.4579977728257458</v>
      </c>
    </row>
    <row r="269" spans="1:7" ht="12.75">
      <c r="A269" s="2" t="s">
        <v>81</v>
      </c>
      <c r="B269" s="2" t="s">
        <v>82</v>
      </c>
      <c r="C269" s="2" t="s">
        <v>83</v>
      </c>
      <c r="D269" s="2" t="s">
        <v>84</v>
      </c>
      <c r="G269" t="s">
        <v>94</v>
      </c>
    </row>
    <row r="270" spans="1:4" ht="12.75">
      <c r="A270" s="11">
        <f>_w1*(L_1+l_2)-f_22-f_33-f_44</f>
        <v>24.793731327930473</v>
      </c>
      <c r="B270" s="11">
        <f>(D270*C280-C282)/C278</f>
        <v>64.57725178585378</v>
      </c>
      <c r="C270" s="11">
        <f>-1*(f_44*(L_1+l_2+l_3)+f_22*L_1+-1*_w1*(L_1+l_2)*((L_1+l_2)/2))/(l_2+L_1)</f>
        <v>8.240217843866917</v>
      </c>
      <c r="D270" s="11">
        <f>(C281*C278+C282*C277)/(C280*C277-C279*C278)</f>
        <v>0.0746498216738013</v>
      </c>
    </row>
    <row r="271" spans="8:12" ht="12.75">
      <c r="H271" t="s">
        <v>95</v>
      </c>
      <c r="I271" s="5">
        <f>f_11/_w1</f>
        <v>17.005328670617747</v>
      </c>
      <c r="K271" t="s">
        <v>97</v>
      </c>
      <c r="L271" s="5">
        <f>f_11*I271/2</f>
        <v>210.81277510122476</v>
      </c>
    </row>
    <row r="272" spans="9:12" ht="12.75">
      <c r="I272" s="5"/>
      <c r="L272" s="5"/>
    </row>
    <row r="273" spans="8:12" ht="12.75">
      <c r="H273" t="s">
        <v>96</v>
      </c>
      <c r="I273" s="5">
        <f>ABS(f_44/_w1)</f>
        <v>0.05120023025077909</v>
      </c>
      <c r="K273" t="s">
        <v>97</v>
      </c>
      <c r="L273" s="5">
        <f>MAX(L285,0)</f>
        <v>0</v>
      </c>
    </row>
    <row r="274" spans="9:12" ht="12.75">
      <c r="I274" s="5"/>
      <c r="L274" s="5"/>
    </row>
    <row r="275" spans="1:7" ht="12.75">
      <c r="A275" t="s">
        <v>114</v>
      </c>
      <c r="G275" t="s">
        <v>100</v>
      </c>
    </row>
    <row r="276" spans="9:12" ht="12.75">
      <c r="I276" s="5"/>
      <c r="L276" s="5"/>
    </row>
    <row r="277" spans="2:12" ht="15.75">
      <c r="B277" s="6" t="s">
        <v>88</v>
      </c>
      <c r="C277">
        <f>(L_1^2)*(l_2^2)/(3*(L_1+l_2))</f>
        <v>5485.074626865671</v>
      </c>
      <c r="H277" t="s">
        <v>98</v>
      </c>
      <c r="I277" s="5">
        <f>f_11*(L_1-I271)/I271</f>
        <v>36.44217513075084</v>
      </c>
      <c r="L277" s="5"/>
    </row>
    <row r="278" spans="2:12" ht="15.75">
      <c r="B278" t="s">
        <v>89</v>
      </c>
      <c r="C278">
        <f>(L_1*l_2*l_3*(2*L_1+l_2))/(6*(L_1+l_2))</f>
        <v>11957.462686567163</v>
      </c>
      <c r="I278" s="5"/>
      <c r="L278" s="5"/>
    </row>
    <row r="279" spans="2:12" ht="15.75">
      <c r="B279" t="s">
        <v>90</v>
      </c>
      <c r="C279">
        <f>l_3*L_1*((L_1+l_2)^2-L_1^2)/(6*(L_1+l_2))</f>
        <v>11957.462686567163</v>
      </c>
      <c r="H279" t="s">
        <v>99</v>
      </c>
      <c r="I279" s="5">
        <f>(f_22-I277)/_w1</f>
        <v>19.297064220183504</v>
      </c>
      <c r="K279" t="s">
        <v>97</v>
      </c>
      <c r="L279" s="5">
        <f>L283+(f_22-I277)*I279/2</f>
        <v>26.844870667425766</v>
      </c>
    </row>
    <row r="280" spans="2:3" ht="15.75">
      <c r="B280" t="s">
        <v>91</v>
      </c>
      <c r="C280">
        <f>l_3^2*(L_1+l_2+l_3)/3</f>
        <v>64092</v>
      </c>
    </row>
    <row r="281" spans="2:7" ht="15.75">
      <c r="B281" t="s">
        <v>92</v>
      </c>
      <c r="C281">
        <f>_w1*L_1*((L_1+l_2)^3-2*(L_1+l_2)*(L_1^2)+L_1^3)/24</f>
        <v>353318.42278607906</v>
      </c>
      <c r="G281" t="s">
        <v>101</v>
      </c>
    </row>
    <row r="282" spans="2:3" ht="15.75">
      <c r="B282" t="s">
        <v>93</v>
      </c>
      <c r="C282">
        <f>-1*_w1*(L_1+l_2)^3*l_3/24</f>
        <v>-767395.622259682</v>
      </c>
    </row>
    <row r="283" spans="8:12" ht="12.75">
      <c r="H283" s="14" t="s">
        <v>102</v>
      </c>
      <c r="I283" s="5"/>
      <c r="K283" t="s">
        <v>97</v>
      </c>
      <c r="L283" s="5">
        <f>L271-I277*(L_1-I271)/2</f>
        <v>-244.61731985922773</v>
      </c>
    </row>
    <row r="284" spans="9:12" ht="12.75">
      <c r="I284" s="5"/>
      <c r="L284" s="5"/>
    </row>
    <row r="285" spans="8:12" ht="12.75">
      <c r="H285" t="s">
        <v>103</v>
      </c>
      <c r="I285" s="5"/>
      <c r="K285" t="s">
        <v>97</v>
      </c>
      <c r="L285" s="5">
        <f>MIN(f_44*l_3,0)</f>
        <v>0</v>
      </c>
    </row>
    <row r="286" spans="9:12" ht="12.75">
      <c r="I286" s="5"/>
      <c r="L286" s="5"/>
    </row>
    <row r="288" ht="13.5" thickBot="1"/>
    <row r="289" spans="2:8" ht="14.25" thickBot="1" thickTop="1">
      <c r="B289" s="32"/>
      <c r="C289" s="33"/>
      <c r="D289" s="53" t="s">
        <v>115</v>
      </c>
      <c r="E289" s="53"/>
      <c r="F289" s="53"/>
      <c r="G289" s="33"/>
      <c r="H289" s="34"/>
    </row>
    <row r="290" spans="2:8" ht="13.5" thickBot="1">
      <c r="B290" s="35" t="s">
        <v>116</v>
      </c>
      <c r="C290" s="36" t="s">
        <v>117</v>
      </c>
      <c r="D290" s="36" t="s">
        <v>118</v>
      </c>
      <c r="E290" s="36" t="s">
        <v>117</v>
      </c>
      <c r="F290" s="36" t="s">
        <v>119</v>
      </c>
      <c r="G290" s="36" t="s">
        <v>117</v>
      </c>
      <c r="H290" s="37" t="s">
        <v>120</v>
      </c>
    </row>
    <row r="291" spans="2:8" ht="13.5" thickBot="1">
      <c r="B291" s="38">
        <v>0</v>
      </c>
      <c r="C291" s="25">
        <f>L271</f>
        <v>210.81277510122476</v>
      </c>
      <c r="D291" s="25">
        <f>L283</f>
        <v>-244.61731985922773</v>
      </c>
      <c r="E291" s="25">
        <f>L279</f>
        <v>26.844870667425766</v>
      </c>
      <c r="F291" s="25">
        <f>L285</f>
        <v>0</v>
      </c>
      <c r="G291" s="25">
        <f>L273</f>
        <v>0</v>
      </c>
      <c r="H291" s="39">
        <v>0</v>
      </c>
    </row>
    <row r="292" spans="2:8" ht="13.5" thickTop="1">
      <c r="B292" s="2"/>
      <c r="C292" s="11"/>
      <c r="D292" s="11"/>
      <c r="E292" s="11"/>
      <c r="F292" s="11"/>
      <c r="G292" s="11"/>
      <c r="H292" s="2"/>
    </row>
    <row r="293" spans="2:8" s="8" customFormat="1" ht="12.75">
      <c r="B293" s="16" t="s">
        <v>208</v>
      </c>
      <c r="C293" s="29"/>
      <c r="D293" s="29"/>
      <c r="E293" s="28"/>
      <c r="F293" s="28"/>
      <c r="G293" s="28"/>
      <c r="H293" s="27"/>
    </row>
    <row r="295" spans="1:3" ht="12.75">
      <c r="A295" s="2" t="s">
        <v>121</v>
      </c>
      <c r="B295" s="2" t="s">
        <v>132</v>
      </c>
      <c r="C295" s="2" t="s">
        <v>122</v>
      </c>
    </row>
    <row r="296" spans="1:3" ht="12.75">
      <c r="A296" s="2">
        <f>l_3</f>
        <v>42</v>
      </c>
      <c r="B296" s="2">
        <f>l_2</f>
        <v>25</v>
      </c>
      <c r="C296" s="2">
        <f>L_1</f>
        <v>42</v>
      </c>
    </row>
    <row r="297" spans="2:3" ht="12.75">
      <c r="B297" s="2"/>
      <c r="C297" s="11"/>
    </row>
    <row r="298" ht="12.75">
      <c r="G298" t="s">
        <v>94</v>
      </c>
    </row>
    <row r="299" spans="2:5" ht="12.75">
      <c r="B299" t="s">
        <v>81</v>
      </c>
      <c r="C299" t="s">
        <v>82</v>
      </c>
      <c r="D299" t="s">
        <v>83</v>
      </c>
      <c r="E299" t="s">
        <v>84</v>
      </c>
    </row>
    <row r="300" spans="2:12" ht="12.75">
      <c r="B300" s="5">
        <f>_w1*(l_11+l_22)-f_222-f_333-f_444</f>
        <v>24.793731327930473</v>
      </c>
      <c r="C300" s="5">
        <f>(E300*C309-C311)/C307</f>
        <v>64.57725178585378</v>
      </c>
      <c r="D300" s="5">
        <f>-1*(f_444*(l_11+l_22+l_33)+f_222*l_11+-1*_w1*(l_11+l_22)*((l_11+l_22)/2))/(l_22+l_11)</f>
        <v>8.240217843866917</v>
      </c>
      <c r="E300" s="5">
        <f>(C310*C307+C311*C306)/(C309*C306-C308*C307)</f>
        <v>0.0746498216738013</v>
      </c>
      <c r="H300" t="s">
        <v>95</v>
      </c>
      <c r="I300" s="5">
        <f>f_111/_w1</f>
        <v>17.005328670617747</v>
      </c>
      <c r="K300" t="s">
        <v>97</v>
      </c>
      <c r="L300" s="5">
        <f>f_111*I300/2</f>
        <v>210.81277510122476</v>
      </c>
    </row>
    <row r="301" spans="9:12" ht="12.75">
      <c r="I301" s="5"/>
      <c r="L301" s="5"/>
    </row>
    <row r="302" spans="8:12" ht="12.75">
      <c r="H302" t="s">
        <v>96</v>
      </c>
      <c r="I302" s="5">
        <f>ABS(f_444/_w1)</f>
        <v>0.05120023025077909</v>
      </c>
      <c r="K302" t="s">
        <v>97</v>
      </c>
      <c r="L302" s="5">
        <f>MAX(L314,0)</f>
        <v>0</v>
      </c>
    </row>
    <row r="303" spans="9:12" ht="12.75">
      <c r="I303" s="5"/>
      <c r="L303" s="5"/>
    </row>
    <row r="304" spans="1:7" ht="12.75">
      <c r="A304" t="s">
        <v>114</v>
      </c>
      <c r="G304" t="s">
        <v>100</v>
      </c>
    </row>
    <row r="305" spans="9:12" ht="12.75">
      <c r="I305" s="5"/>
      <c r="L305" s="5"/>
    </row>
    <row r="306" spans="2:12" ht="15.75">
      <c r="B306" s="6" t="s">
        <v>88</v>
      </c>
      <c r="C306">
        <f>(l_11^2)*(l_22^2)/(3*(l_11+l_22))</f>
        <v>5485.074626865671</v>
      </c>
      <c r="H306" t="s">
        <v>98</v>
      </c>
      <c r="I306" s="5">
        <f>f_111*(l_11-I300)/I300</f>
        <v>36.44217513075084</v>
      </c>
      <c r="L306" s="5"/>
    </row>
    <row r="307" spans="2:12" ht="15.75">
      <c r="B307" t="s">
        <v>89</v>
      </c>
      <c r="C307">
        <f>(l_11*l_22*l_33*(2*l_11+l_22))/(6*(l_11+l_22))</f>
        <v>11957.462686567163</v>
      </c>
      <c r="I307" s="5"/>
      <c r="L307" s="5"/>
    </row>
    <row r="308" spans="2:12" ht="15.75">
      <c r="B308" t="s">
        <v>90</v>
      </c>
      <c r="C308">
        <f>l_33*l_11*((l_11+l_22)^2-l_11^2)/(6*(l_11+l_22))</f>
        <v>11957.462686567163</v>
      </c>
      <c r="H308" t="s">
        <v>99</v>
      </c>
      <c r="I308" s="5">
        <f>(f_222-I306)/_w1</f>
        <v>19.297064220183504</v>
      </c>
      <c r="K308" t="s">
        <v>97</v>
      </c>
      <c r="L308" s="5">
        <f>L312+(f_222-I306)*I308/2</f>
        <v>26.844870667425766</v>
      </c>
    </row>
    <row r="309" spans="2:3" ht="15.75">
      <c r="B309" t="s">
        <v>91</v>
      </c>
      <c r="C309">
        <f>l_33^2*(l_11+l_22+l_33)/3</f>
        <v>64092</v>
      </c>
    </row>
    <row r="310" spans="2:7" ht="15.75">
      <c r="B310" t="s">
        <v>92</v>
      </c>
      <c r="C310">
        <f>_w1*l_11*((l_11+l_22)^3-2*(l_11+l_22)*(l_11^2)+l_11^3)/24</f>
        <v>353318.42278607906</v>
      </c>
      <c r="G310" t="s">
        <v>101</v>
      </c>
    </row>
    <row r="311" spans="2:3" ht="15.75">
      <c r="B311" t="s">
        <v>93</v>
      </c>
      <c r="C311">
        <f>-1*_w1*(l_11+l_22)^3*l_33/24</f>
        <v>-767395.622259682</v>
      </c>
    </row>
    <row r="312" spans="8:12" ht="12.75">
      <c r="H312" s="14" t="s">
        <v>102</v>
      </c>
      <c r="I312" s="5"/>
      <c r="K312" t="s">
        <v>97</v>
      </c>
      <c r="L312" s="5">
        <f>L300-I306*(l_11-I300)/2</f>
        <v>-244.61731985922773</v>
      </c>
    </row>
    <row r="313" spans="9:12" ht="12.75">
      <c r="I313" s="5"/>
      <c r="L313" s="5"/>
    </row>
    <row r="314" spans="8:12" ht="12.75">
      <c r="H314" t="s">
        <v>103</v>
      </c>
      <c r="I314" s="5"/>
      <c r="K314" t="s">
        <v>97</v>
      </c>
      <c r="L314" s="5">
        <f>MIN(f_444*l_33,0)</f>
        <v>0</v>
      </c>
    </row>
    <row r="315" spans="9:12" ht="12.75">
      <c r="I315" s="5"/>
      <c r="L315" s="5"/>
    </row>
    <row r="316" ht="13.5" thickBot="1"/>
    <row r="317" spans="2:8" ht="14.25" thickBot="1" thickTop="1">
      <c r="B317" s="21"/>
      <c r="C317" s="22"/>
      <c r="D317" s="52" t="s">
        <v>115</v>
      </c>
      <c r="E317" s="52"/>
      <c r="F317" s="52"/>
      <c r="G317" s="22"/>
      <c r="H317" s="23"/>
    </row>
    <row r="318" spans="2:8" ht="13.5" thickBot="1">
      <c r="B318" s="40" t="s">
        <v>116</v>
      </c>
      <c r="C318" s="41" t="s">
        <v>117</v>
      </c>
      <c r="D318" s="41" t="s">
        <v>118</v>
      </c>
      <c r="E318" s="41" t="s">
        <v>117</v>
      </c>
      <c r="F318" s="41" t="s">
        <v>119</v>
      </c>
      <c r="G318" s="41" t="s">
        <v>117</v>
      </c>
      <c r="H318" s="42" t="s">
        <v>120</v>
      </c>
    </row>
    <row r="319" spans="2:8" ht="13.5" thickBot="1">
      <c r="B319" s="24">
        <v>0</v>
      </c>
      <c r="C319" s="25">
        <f>L302</f>
        <v>0</v>
      </c>
      <c r="D319" s="25">
        <f>L314</f>
        <v>0</v>
      </c>
      <c r="E319" s="25">
        <f>L308</f>
        <v>26.844870667425766</v>
      </c>
      <c r="F319" s="25">
        <f>L312</f>
        <v>-244.61731985922773</v>
      </c>
      <c r="G319" s="25">
        <f>L300</f>
        <v>210.81277510122476</v>
      </c>
      <c r="H319" s="26">
        <v>0</v>
      </c>
    </row>
    <row r="320" ht="13.5" thickTop="1"/>
  </sheetData>
  <mergeCells count="12">
    <mergeCell ref="B160:B161"/>
    <mergeCell ref="B156:B157"/>
    <mergeCell ref="B88:C88"/>
    <mergeCell ref="B98:C98"/>
    <mergeCell ref="B10:C10"/>
    <mergeCell ref="B25:C25"/>
    <mergeCell ref="B72:C72"/>
    <mergeCell ref="B56:C56"/>
    <mergeCell ref="D317:F317"/>
    <mergeCell ref="D289:F289"/>
    <mergeCell ref="D259:F259"/>
    <mergeCell ref="D206:F206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6"/>
  <sheetViews>
    <sheetView workbookViewId="0" topLeftCell="A1">
      <selection activeCell="I27" sqref="I27"/>
    </sheetView>
  </sheetViews>
  <sheetFormatPr defaultColWidth="9.140625" defaultRowHeight="12.75"/>
  <cols>
    <col min="2" max="2" width="10.57421875" style="0" bestFit="1" customWidth="1"/>
  </cols>
  <sheetData>
    <row r="1" spans="1:13" ht="12.75">
      <c r="A1" t="s">
        <v>138</v>
      </c>
      <c r="M1" t="s">
        <v>180</v>
      </c>
    </row>
    <row r="2" spans="13:18" ht="12.75">
      <c r="M2">
        <v>1</v>
      </c>
      <c r="N2">
        <v>2</v>
      </c>
      <c r="O2">
        <v>3</v>
      </c>
      <c r="P2">
        <v>4</v>
      </c>
      <c r="Q2">
        <v>5</v>
      </c>
      <c r="R2">
        <v>6</v>
      </c>
    </row>
    <row r="3" spans="12:18" ht="12.75">
      <c r="L3">
        <v>3</v>
      </c>
      <c r="M3" s="19">
        <f>M2*PI()*(L3/8)^2/4</f>
        <v>0.11044661672776616</v>
      </c>
      <c r="N3" s="19">
        <f>N2*PI()*(L3/8)^2/4</f>
        <v>0.22089323345553233</v>
      </c>
      <c r="O3" s="19">
        <f>O2*PI()*(L3/8)^2/4</f>
        <v>0.3313398501832985</v>
      </c>
      <c r="P3" s="19">
        <f>P2*PI()*(L3/8)^2/4</f>
        <v>0.44178646691106466</v>
      </c>
      <c r="Q3" s="19">
        <f>Q2*PI()*(L3/8)^2/4</f>
        <v>0.5522330836388308</v>
      </c>
      <c r="R3" s="19">
        <f>R2*PI()*(L3/8)^2/4</f>
        <v>0.662679700366597</v>
      </c>
    </row>
    <row r="4" spans="1:18" ht="12.75">
      <c r="A4" t="s">
        <v>139</v>
      </c>
      <c r="B4" s="5">
        <f>('Service Beam Design'!C127+'Service Beam Design'!C91*'Service Beam Design'!C104/1000)*1.2</f>
        <v>3.455</v>
      </c>
      <c r="D4" s="5">
        <f>B4*1.2</f>
        <v>4.146</v>
      </c>
      <c r="L4">
        <v>4</v>
      </c>
      <c r="M4" s="19">
        <f>M2*PI()*(L4/8)^2/4</f>
        <v>0.19634954084936207</v>
      </c>
      <c r="N4" s="19">
        <f>N2*PI()*(L4/8)^2/4</f>
        <v>0.39269908169872414</v>
      </c>
      <c r="O4" s="19">
        <f>O2*PI()*(L4/8)^2/4</f>
        <v>0.5890486225480862</v>
      </c>
      <c r="P4" s="19">
        <f>P2*PI()*(L4/8)^2/4</f>
        <v>0.7853981633974483</v>
      </c>
      <c r="Q4" s="19">
        <f>Q2*PI()*(L4/8)^2/4</f>
        <v>0.9817477042468103</v>
      </c>
      <c r="R4" s="19">
        <f>R2*PI()*(L4/8)^2/4</f>
        <v>1.1780972450961724</v>
      </c>
    </row>
    <row r="5" spans="1:18" ht="12.75">
      <c r="A5" t="s">
        <v>15</v>
      </c>
      <c r="B5" s="5">
        <f>'Service Beam Design'!D109</f>
        <v>1.4579977728257458</v>
      </c>
      <c r="D5" s="5">
        <f>B5*1.6</f>
        <v>2.3327964365211935</v>
      </c>
      <c r="L5">
        <v>5</v>
      </c>
      <c r="M5" s="19">
        <f>M2*PI()*(L5/8)^2/4</f>
        <v>0.30679615757712825</v>
      </c>
      <c r="N5" s="19">
        <f>N2*PI()*(L5/8)^2/4</f>
        <v>0.6135923151542565</v>
      </c>
      <c r="O5" s="19">
        <f>O2*PI()*(L5/8)^2/4</f>
        <v>0.9203884727313847</v>
      </c>
      <c r="P5" s="19">
        <f>P2*PI()*(L5/8)^2/4</f>
        <v>1.227184630308513</v>
      </c>
      <c r="Q5" s="19">
        <f>Q2*PI()*(L5/8)^2/4</f>
        <v>1.533980787885641</v>
      </c>
      <c r="R5" s="19">
        <f>R2*PI()*(L5/8)^2/4</f>
        <v>1.8407769454627694</v>
      </c>
    </row>
    <row r="6" spans="12:18" ht="12.75">
      <c r="L6">
        <v>6</v>
      </c>
      <c r="M6" s="19">
        <f>M2*PI()*(L6/8)^2/4</f>
        <v>0.44178646691106466</v>
      </c>
      <c r="N6" s="19">
        <f>N2*PI()*(L6/8)^2/4</f>
        <v>0.8835729338221293</v>
      </c>
      <c r="O6" s="19">
        <f>O2*PI()*(L6/8)^2/4</f>
        <v>1.325359400733194</v>
      </c>
      <c r="P6" s="19">
        <f>P2*PI()*(L6/8)^2/4</f>
        <v>1.7671458676442586</v>
      </c>
      <c r="Q6" s="19">
        <f>Q2*PI()*(L6/8)^2/4</f>
        <v>2.2089323345553233</v>
      </c>
      <c r="R6" s="19">
        <f>R2*PI()*(L6/8)^2/4</f>
        <v>2.650718801466388</v>
      </c>
    </row>
    <row r="7" spans="1:18" ht="12.75">
      <c r="A7" s="2" t="s">
        <v>85</v>
      </c>
      <c r="B7" s="2" t="s">
        <v>86</v>
      </c>
      <c r="C7" s="2" t="s">
        <v>87</v>
      </c>
      <c r="L7">
        <v>7</v>
      </c>
      <c r="M7" s="19">
        <f>M2*PI()*(L7/8)^2/4</f>
        <v>0.6013204688511713</v>
      </c>
      <c r="N7" s="19">
        <f>N2*PI()*(L7/8)^2/4</f>
        <v>1.2026409377023426</v>
      </c>
      <c r="O7" s="19">
        <f>O2*PI()*(L7/8)^2/4</f>
        <v>1.8039614065535141</v>
      </c>
      <c r="P7" s="19">
        <f>P2*PI()*(L7/8)^2/4</f>
        <v>2.405281875404685</v>
      </c>
      <c r="Q7" s="19">
        <f>Q2*PI()*(L7/8)^2/4</f>
        <v>3.0066023442558567</v>
      </c>
      <c r="R7" s="19">
        <f>R2*PI()*(L7/8)^2/4</f>
        <v>3.6079228131070282</v>
      </c>
    </row>
    <row r="8" spans="1:18" ht="12.75">
      <c r="A8" s="2">
        <v>42</v>
      </c>
      <c r="B8" s="2">
        <v>25</v>
      </c>
      <c r="C8" s="2">
        <v>42</v>
      </c>
      <c r="L8">
        <v>8</v>
      </c>
      <c r="M8" s="19">
        <f>M2*PI()*(L8/8)^2/4</f>
        <v>0.7853981633974483</v>
      </c>
      <c r="N8" s="19">
        <f>N2*PI()*(L8/8)^2/4</f>
        <v>1.5707963267948966</v>
      </c>
      <c r="O8" s="19">
        <f>O2*PI()*(L8/8)^2/4</f>
        <v>2.356194490192345</v>
      </c>
      <c r="P8" s="19">
        <f>P2*PI()*(L8/8)^2/4</f>
        <v>3.141592653589793</v>
      </c>
      <c r="Q8" s="19">
        <f>Q2*PI()*(L8/8)^2/4</f>
        <v>3.9269908169872414</v>
      </c>
      <c r="R8" s="19">
        <f>R2*PI()*(L8/8)^2/4</f>
        <v>4.71238898038469</v>
      </c>
    </row>
    <row r="9" spans="12:18" ht="12.75">
      <c r="L9">
        <v>9</v>
      </c>
      <c r="M9" s="19">
        <f>M2*PI()*(L9/8)^2/4</f>
        <v>0.9940195505498954</v>
      </c>
      <c r="N9" s="19">
        <f>N2*PI()*(L9/8)^2/4</f>
        <v>1.9880391010997909</v>
      </c>
      <c r="O9" s="19">
        <f>O2*PI()*(L9/8)^2/4</f>
        <v>2.9820586516496865</v>
      </c>
      <c r="P9" s="19">
        <f>P2*PI()*(L9/8)^2/4</f>
        <v>3.9760782021995817</v>
      </c>
      <c r="Q9" s="19">
        <f>Q2*PI()*(L9/8)^2/4</f>
        <v>4.970097752749477</v>
      </c>
      <c r="R9" s="19">
        <f>R2*PI()*(L9/8)^2/4</f>
        <v>5.964117303299373</v>
      </c>
    </row>
    <row r="10" spans="12:18" ht="12.75">
      <c r="L10">
        <v>10</v>
      </c>
      <c r="M10" s="19">
        <f>M2*PI()*(L10/8)^2/4</f>
        <v>1.227184630308513</v>
      </c>
      <c r="N10" s="19">
        <f>N2*PI()*(L10/8)^2/4</f>
        <v>2.454369260617026</v>
      </c>
      <c r="O10" s="19">
        <f>O2*PI()*(L10/8)^2/4</f>
        <v>3.6815538909255388</v>
      </c>
      <c r="P10" s="19">
        <f>P2*PI()*(L10/8)^2/4</f>
        <v>4.908738521234052</v>
      </c>
      <c r="Q10" s="19">
        <f>Q2*PI()*(L10/8)^2/4</f>
        <v>6.135923151542564</v>
      </c>
      <c r="R10" s="19">
        <f>R2*PI()*(L10/8)^2/4</f>
        <v>7.3631077818510775</v>
      </c>
    </row>
    <row r="13" spans="4:10" ht="12.75">
      <c r="D13" s="2" t="s">
        <v>116</v>
      </c>
      <c r="E13" s="2" t="s">
        <v>117</v>
      </c>
      <c r="F13" s="2" t="s">
        <v>118</v>
      </c>
      <c r="G13" s="2" t="s">
        <v>117</v>
      </c>
      <c r="H13" s="2" t="s">
        <v>119</v>
      </c>
      <c r="I13" s="2" t="s">
        <v>117</v>
      </c>
      <c r="J13" s="2" t="s">
        <v>120</v>
      </c>
    </row>
    <row r="14" spans="2:10" ht="12.75">
      <c r="B14" t="s">
        <v>143</v>
      </c>
      <c r="D14" s="11">
        <f aca="true" t="shared" si="0" ref="D14:J14">B117+B169</f>
        <v>0</v>
      </c>
      <c r="E14" s="11">
        <f t="shared" si="0"/>
        <v>890.7965142582069</v>
      </c>
      <c r="F14" s="11">
        <f t="shared" si="0"/>
        <v>-1220.5252308220088</v>
      </c>
      <c r="G14" s="11">
        <f t="shared" si="0"/>
        <v>-260.920948113207</v>
      </c>
      <c r="H14" s="11">
        <f t="shared" si="0"/>
        <v>-1220.5252308220083</v>
      </c>
      <c r="I14" s="11">
        <f t="shared" si="0"/>
        <v>890.796514258207</v>
      </c>
      <c r="J14" s="11">
        <f t="shared" si="0"/>
        <v>0</v>
      </c>
    </row>
    <row r="15" spans="2:10" ht="12.75">
      <c r="B15" t="s">
        <v>144</v>
      </c>
      <c r="D15" s="11">
        <f aca="true" t="shared" si="1" ref="D15:J15">B117+MIN(B199,B226)</f>
        <v>0</v>
      </c>
      <c r="E15" s="11">
        <f t="shared" si="1"/>
        <v>645.1622404841816</v>
      </c>
      <c r="F15" s="11">
        <f t="shared" si="1"/>
        <v>-976.2149098879725</v>
      </c>
      <c r="G15" s="11">
        <f t="shared" si="1"/>
        <v>-217.96915504532717</v>
      </c>
      <c r="H15" s="11">
        <f t="shared" si="1"/>
        <v>-976.2149098879725</v>
      </c>
      <c r="I15" s="11">
        <f t="shared" si="1"/>
        <v>645.1622404841816</v>
      </c>
      <c r="J15" s="11">
        <f t="shared" si="1"/>
        <v>0</v>
      </c>
    </row>
    <row r="17" spans="2:10" ht="12.75">
      <c r="B17" t="s">
        <v>145</v>
      </c>
      <c r="D17" s="2">
        <v>0</v>
      </c>
      <c r="E17" s="11">
        <f>MAX(E14:E15)</f>
        <v>890.7965142582069</v>
      </c>
      <c r="F17" s="11">
        <f>MIN(F14:F15)</f>
        <v>-1220.5252308220088</v>
      </c>
      <c r="G17" s="11">
        <f>MIN(G14:G15)</f>
        <v>-260.920948113207</v>
      </c>
      <c r="H17" s="11">
        <f>MIN(H14:H15)</f>
        <v>-1220.5252308220083</v>
      </c>
      <c r="I17" s="11">
        <f>MAX(I14:I15)</f>
        <v>890.796514258207</v>
      </c>
      <c r="J17" s="2">
        <v>0</v>
      </c>
    </row>
    <row r="18" spans="4:10" ht="12.75">
      <c r="D18" s="2"/>
      <c r="E18" s="11"/>
      <c r="F18" s="11"/>
      <c r="G18" s="11"/>
      <c r="H18" s="11"/>
      <c r="I18" s="11"/>
      <c r="J18" s="2"/>
    </row>
    <row r="19" spans="4:10" ht="12.75">
      <c r="D19" s="2"/>
      <c r="E19" s="11"/>
      <c r="F19" s="11"/>
      <c r="G19" s="11"/>
      <c r="H19" s="11"/>
      <c r="I19" s="11"/>
      <c r="J19" s="2"/>
    </row>
    <row r="20" spans="2:10" ht="12.75">
      <c r="B20" t="s">
        <v>144</v>
      </c>
      <c r="D20" s="11">
        <f>MIN(D17:J17)</f>
        <v>-1220.5252308220088</v>
      </c>
      <c r="E20" s="11"/>
      <c r="F20" s="11"/>
      <c r="G20" s="11"/>
      <c r="H20" s="11"/>
      <c r="I20" s="11"/>
      <c r="J20" s="2"/>
    </row>
    <row r="21" spans="2:10" ht="12.75">
      <c r="B21" t="s">
        <v>143</v>
      </c>
      <c r="D21" s="11">
        <f>MAX(D17:J17)</f>
        <v>890.796514258207</v>
      </c>
      <c r="E21" s="11"/>
      <c r="F21" s="11"/>
      <c r="G21" s="11"/>
      <c r="H21" s="11"/>
      <c r="I21" s="11"/>
      <c r="J21" s="2"/>
    </row>
    <row r="22" spans="4:10" ht="12.75">
      <c r="D22" s="2"/>
      <c r="E22" s="11"/>
      <c r="F22" s="11"/>
      <c r="G22" s="11"/>
      <c r="H22" s="11"/>
      <c r="I22" s="11"/>
      <c r="J22" s="2"/>
    </row>
    <row r="23" spans="4:10" ht="12.75">
      <c r="D23" s="2"/>
      <c r="E23" s="11"/>
      <c r="F23" s="11"/>
      <c r="G23" s="11"/>
      <c r="H23" s="11"/>
      <c r="I23" s="11"/>
      <c r="J23" s="2"/>
    </row>
    <row r="24" spans="2:10" ht="12.75">
      <c r="B24" t="s">
        <v>146</v>
      </c>
      <c r="D24" s="2"/>
      <c r="E24" s="11"/>
      <c r="F24" s="11"/>
      <c r="G24" s="11"/>
      <c r="H24" s="11"/>
      <c r="I24" s="11"/>
      <c r="J24" s="2"/>
    </row>
    <row r="25" spans="4:10" ht="12.75">
      <c r="D25" s="2"/>
      <c r="E25" s="11"/>
      <c r="F25" s="11"/>
      <c r="G25" s="11"/>
      <c r="H25" s="11"/>
      <c r="I25" s="11"/>
      <c r="J25" s="2"/>
    </row>
    <row r="26" spans="2:10" ht="12.75">
      <c r="B26" t="s">
        <v>147</v>
      </c>
      <c r="C26" s="5">
        <f>'Service Beam Design'!C133</f>
        <v>2.6033418367346943</v>
      </c>
      <c r="D26" s="2"/>
      <c r="E26" s="11"/>
      <c r="F26" s="11" t="s">
        <v>154</v>
      </c>
      <c r="G26" s="11">
        <f>'Service Beam Design'!D116-'Service Beam Design'!J81</f>
        <v>7.4975884244373</v>
      </c>
      <c r="H26" s="11"/>
      <c r="I26" s="11"/>
      <c r="J26" s="2"/>
    </row>
    <row r="27" spans="2:10" ht="12.75">
      <c r="B27" t="s">
        <v>148</v>
      </c>
      <c r="C27" s="5">
        <f>C26*'Service Beam Design'!C103^2/10</f>
        <v>459.2295000000001</v>
      </c>
      <c r="D27" s="2"/>
      <c r="E27" s="11"/>
      <c r="F27" s="11" t="s">
        <v>155</v>
      </c>
      <c r="G27" s="11">
        <f>'Service Beam Design'!C132</f>
        <v>479.196</v>
      </c>
      <c r="H27" s="11"/>
      <c r="I27" s="11"/>
      <c r="J27" s="2"/>
    </row>
    <row r="28" spans="3:10" ht="12.75">
      <c r="C28" s="5"/>
      <c r="D28" s="2"/>
      <c r="E28" s="11"/>
      <c r="F28" s="11" t="s">
        <v>156</v>
      </c>
      <c r="G28" s="11">
        <f>G26*G27/12</f>
        <v>299.4011985530547</v>
      </c>
      <c r="H28" s="11"/>
      <c r="I28" s="11"/>
      <c r="J28" s="2"/>
    </row>
    <row r="29" spans="2:10" ht="12.75">
      <c r="B29" t="s">
        <v>149</v>
      </c>
      <c r="C29" s="5">
        <f>C27-G28</f>
        <v>159.82830144694537</v>
      </c>
      <c r="D29" s="2"/>
      <c r="E29" s="11"/>
      <c r="F29" s="11"/>
      <c r="G29" s="11"/>
      <c r="H29" s="11"/>
      <c r="I29" s="11"/>
      <c r="J29" s="2"/>
    </row>
    <row r="30" spans="4:10" ht="12.75">
      <c r="D30" s="2"/>
      <c r="E30" s="11"/>
      <c r="F30" s="11"/>
      <c r="G30" s="11"/>
      <c r="H30" s="11"/>
      <c r="I30" s="11"/>
      <c r="J30" s="2"/>
    </row>
    <row r="31" spans="2:10" ht="12.75">
      <c r="B31" t="s">
        <v>151</v>
      </c>
      <c r="C31" s="5">
        <f>D20</f>
        <v>-1220.5252308220088</v>
      </c>
      <c r="D31" s="11">
        <f>C31+C29</f>
        <v>-1060.6969293750635</v>
      </c>
      <c r="E31" s="11"/>
      <c r="F31" s="11"/>
      <c r="G31" s="11"/>
      <c r="H31" s="11"/>
      <c r="I31" s="11"/>
      <c r="J31" s="2"/>
    </row>
    <row r="32" spans="2:10" ht="12.75">
      <c r="B32" t="s">
        <v>150</v>
      </c>
      <c r="C32" s="5">
        <f>D21</f>
        <v>890.796514258207</v>
      </c>
      <c r="D32" s="11">
        <f>C32+C29</f>
        <v>1050.6248157051523</v>
      </c>
      <c r="E32" s="11"/>
      <c r="F32" s="11"/>
      <c r="G32" s="11"/>
      <c r="H32" s="11"/>
      <c r="I32" s="11"/>
      <c r="J32" s="2"/>
    </row>
    <row r="33" spans="4:10" ht="12.75">
      <c r="D33" s="2"/>
      <c r="E33" s="11"/>
      <c r="F33" s="11"/>
      <c r="G33" s="11"/>
      <c r="H33" s="11"/>
      <c r="I33" s="11"/>
      <c r="J33" s="2"/>
    </row>
    <row r="34" spans="4:10" ht="12.75">
      <c r="D34" s="2"/>
      <c r="E34" s="11"/>
      <c r="F34" s="11"/>
      <c r="G34" s="11"/>
      <c r="H34" s="11"/>
      <c r="I34" s="11"/>
      <c r="J34" s="2"/>
    </row>
    <row r="35" spans="1:10" ht="12.75">
      <c r="A35" t="s">
        <v>167</v>
      </c>
      <c r="D35" s="2"/>
      <c r="E35" s="11"/>
      <c r="F35" s="11"/>
      <c r="G35" s="11"/>
      <c r="H35" s="11"/>
      <c r="I35" s="11"/>
      <c r="J35" s="2"/>
    </row>
    <row r="36" spans="4:10" ht="12.75">
      <c r="D36" s="2"/>
      <c r="E36" s="11"/>
      <c r="F36" s="11"/>
      <c r="G36" s="11"/>
      <c r="H36" s="11"/>
      <c r="I36" s="11"/>
      <c r="J36" s="2"/>
    </row>
    <row r="37" spans="1:10" ht="12.75">
      <c r="A37" t="s">
        <v>168</v>
      </c>
      <c r="D37" s="2"/>
      <c r="E37" s="11"/>
      <c r="F37" s="11"/>
      <c r="G37" s="11"/>
      <c r="H37" s="11"/>
      <c r="I37" s="11"/>
      <c r="J37" s="2"/>
    </row>
    <row r="38" spans="4:10" ht="12.75">
      <c r="D38" s="2"/>
      <c r="E38" s="11"/>
      <c r="F38" s="11"/>
      <c r="G38" s="11"/>
      <c r="H38" s="11"/>
      <c r="I38" s="11"/>
      <c r="J38" s="2"/>
    </row>
    <row r="39" spans="1:10" ht="15.75">
      <c r="A39" t="s">
        <v>169</v>
      </c>
      <c r="D39" s="2"/>
      <c r="E39" s="11"/>
      <c r="F39" s="11" t="s">
        <v>170</v>
      </c>
      <c r="G39" s="11"/>
      <c r="H39" s="11"/>
      <c r="I39" s="11"/>
      <c r="J39" s="2"/>
    </row>
    <row r="40" spans="4:10" ht="12.75">
      <c r="D40" s="2"/>
      <c r="E40" s="11"/>
      <c r="F40" s="11"/>
      <c r="G40" s="11"/>
      <c r="H40" s="11"/>
      <c r="I40" s="11"/>
      <c r="J40" s="2"/>
    </row>
    <row r="41" spans="1:11" ht="12.75">
      <c r="A41" t="s">
        <v>171</v>
      </c>
      <c r="D41" s="2"/>
      <c r="E41" s="11"/>
      <c r="F41" s="11"/>
      <c r="G41" s="11"/>
      <c r="H41" s="11"/>
      <c r="I41" s="11"/>
      <c r="J41" s="2" t="s">
        <v>172</v>
      </c>
      <c r="K41" s="18">
        <f>epl*astrand/a</f>
        <v>0.003984375</v>
      </c>
    </row>
    <row r="43" spans="1:2" ht="15.75">
      <c r="A43" t="s">
        <v>173</v>
      </c>
      <c r="B43" s="5">
        <f>MINA((fse+10000/1000+fc/1000/(300*K41)),fse+60000)</f>
        <v>189.01960784313727</v>
      </c>
    </row>
    <row r="44" ht="12.75">
      <c r="B44" s="5"/>
    </row>
    <row r="45" ht="12.75">
      <c r="B45" s="5"/>
    </row>
    <row r="46" spans="1:2" ht="12.75">
      <c r="A46" t="s">
        <v>174</v>
      </c>
      <c r="B46" s="5"/>
    </row>
    <row r="47" spans="1:3" ht="12.75">
      <c r="A47" t="s">
        <v>175</v>
      </c>
      <c r="B47" s="5"/>
      <c r="C47" s="47">
        <f>ABS(D31)</f>
        <v>1060.6969293750635</v>
      </c>
    </row>
    <row r="48" ht="12.75">
      <c r="B48" s="5"/>
    </row>
    <row r="49" ht="12.75">
      <c r="B49" s="5"/>
    </row>
    <row r="50" spans="1:2" ht="12.75">
      <c r="A50" t="s">
        <v>176</v>
      </c>
      <c r="B50" s="5"/>
    </row>
    <row r="51" spans="1:2" ht="15.75">
      <c r="A51" t="s">
        <v>177</v>
      </c>
      <c r="B51" s="5"/>
    </row>
    <row r="52" ht="12.75">
      <c r="B52" s="5"/>
    </row>
    <row r="53" spans="1:2" ht="12.75">
      <c r="A53" t="s">
        <v>178</v>
      </c>
      <c r="B53" s="5">
        <f>b*(h-'Service Beam Design'!I114)</f>
        <v>30</v>
      </c>
    </row>
    <row r="54" spans="1:2" ht="12.75">
      <c r="A54" t="s">
        <v>179</v>
      </c>
      <c r="B54" s="5">
        <f>0.004*B53</f>
        <v>0.12</v>
      </c>
    </row>
    <row r="55" spans="1:2" ht="12.75">
      <c r="A55" t="s">
        <v>237</v>
      </c>
      <c r="B55" s="5">
        <f>R8</f>
        <v>4.71238898038469</v>
      </c>
    </row>
    <row r="56" spans="1:2" ht="12.75">
      <c r="A56" t="s">
        <v>183</v>
      </c>
      <c r="B56" s="5">
        <f>B55*60</f>
        <v>282.7433388230814</v>
      </c>
    </row>
    <row r="57" spans="1:2" ht="12.75">
      <c r="A57" t="s">
        <v>184</v>
      </c>
      <c r="B57" s="5">
        <f>(B43/fse)*'Service Beam Design'!C132</f>
        <v>520.5600000000001</v>
      </c>
    </row>
    <row r="58" spans="1:2" ht="12.75">
      <c r="A58" t="s">
        <v>181</v>
      </c>
      <c r="B58" s="5">
        <f>(B55*60+(B43/fse)*'Service Beam Design'!C132)/(0.85*(fc/1000)*b)</f>
        <v>6.562935774698379</v>
      </c>
    </row>
    <row r="59" ht="12.75">
      <c r="B59" s="5"/>
    </row>
    <row r="60" spans="1:5" ht="12.75">
      <c r="A60" t="s">
        <v>182</v>
      </c>
      <c r="B60" s="48">
        <f>0.9*((B57*(h-(h-'Service Beam Design'!D116)-'Ultimate Beam Design'!B58/2)/12)+'Ultimate Beam Design'!B56*(h-2-'Ultimate Beam Design'!B58/2)/12)</f>
        <v>1157.0309507969598</v>
      </c>
      <c r="E60" s="46" t="str">
        <f>IF(B60&gt;C47,"ok","FAILED")</f>
        <v>ok</v>
      </c>
    </row>
    <row r="61" ht="12.75">
      <c r="B61" s="5"/>
    </row>
    <row r="62" ht="12.75">
      <c r="B62" s="5"/>
    </row>
    <row r="63" spans="1:6" ht="12.75">
      <c r="A63" t="s">
        <v>185</v>
      </c>
      <c r="B63" s="18">
        <f>B55*60/(h-2)/b/(fc/1000)+epl*B43*astrand/b/(h-(h-'Service Beam Design'!D116))/(fc/1000)</f>
        <v>0.221667373712747</v>
      </c>
      <c r="C63" t="s">
        <v>186</v>
      </c>
      <c r="D63">
        <v>0.3</v>
      </c>
      <c r="F63" t="s">
        <v>187</v>
      </c>
    </row>
    <row r="64" ht="12.75">
      <c r="B64" s="5"/>
    </row>
    <row r="65" spans="1:2" ht="12.75">
      <c r="A65" t="s">
        <v>117</v>
      </c>
      <c r="B65" s="5"/>
    </row>
    <row r="66" spans="1:3" ht="12.75">
      <c r="A66" t="s">
        <v>188</v>
      </c>
      <c r="B66" s="5"/>
      <c r="C66" s="48">
        <f>D32</f>
        <v>1050.6248157051523</v>
      </c>
    </row>
    <row r="67" spans="1:2" ht="12.75">
      <c r="A67" t="s">
        <v>178</v>
      </c>
      <c r="B67" s="5">
        <f>b*h-B53</f>
        <v>546</v>
      </c>
    </row>
    <row r="68" spans="1:2" ht="12.75">
      <c r="A68" t="s">
        <v>179</v>
      </c>
      <c r="B68" s="5">
        <f>0.004*B67</f>
        <v>2.184</v>
      </c>
    </row>
    <row r="69" spans="1:2" ht="12.75">
      <c r="A69" t="s">
        <v>189</v>
      </c>
      <c r="B69" s="5">
        <f>R8</f>
        <v>4.71238898038469</v>
      </c>
    </row>
    <row r="70" spans="1:2" ht="12.75">
      <c r="A70" t="s">
        <v>183</v>
      </c>
      <c r="B70" s="5">
        <f>B69*60</f>
        <v>282.7433388230814</v>
      </c>
    </row>
    <row r="71" spans="1:2" ht="12.75">
      <c r="A71" t="s">
        <v>184</v>
      </c>
      <c r="B71" s="5">
        <f>B57</f>
        <v>520.5600000000001</v>
      </c>
    </row>
    <row r="72" spans="1:2" ht="12.75">
      <c r="A72" t="s">
        <v>181</v>
      </c>
      <c r="B72" s="5">
        <f>(B71+B70)/(0.85*(fc/1000)*'Service Beam Design'!J76)</f>
        <v>2.100139447903481</v>
      </c>
    </row>
    <row r="73" spans="1:5" ht="12.75">
      <c r="A73" t="s">
        <v>182</v>
      </c>
      <c r="B73" s="48">
        <f>0.9*((B71*(h-('Service Beam Design'!D115)-'Ultimate Beam Design'!B72/2)/12)+'Ultimate Beam Design'!B70*(h-2-'Ultimate Beam Design'!B72/2)/12)</f>
        <v>1223.1441704145248</v>
      </c>
      <c r="E73" s="46" t="str">
        <f>IF(B73&gt;C66,"ok","FAILED")</f>
        <v>ok</v>
      </c>
    </row>
    <row r="74" ht="12.75">
      <c r="B74" s="5"/>
    </row>
    <row r="75" ht="12.75">
      <c r="B75" s="5"/>
    </row>
    <row r="76" ht="12.75">
      <c r="B76" s="5"/>
    </row>
    <row r="77" spans="1:2" ht="12.75">
      <c r="A77" t="s">
        <v>190</v>
      </c>
      <c r="B77" s="5"/>
    </row>
    <row r="78" spans="1:2" ht="12.75">
      <c r="A78" t="s">
        <v>191</v>
      </c>
      <c r="B78" s="5">
        <f>wdead+wlive</f>
        <v>6.478796436521193</v>
      </c>
    </row>
    <row r="79" spans="1:2" ht="12.75">
      <c r="A79" t="s">
        <v>192</v>
      </c>
      <c r="B79" s="5">
        <f>B78*0.5*'Service Beam Design'!C103+ABS(D31)/'Service Beam Design'!C103</f>
        <v>161.30941396158943</v>
      </c>
    </row>
    <row r="80" ht="12.75">
      <c r="B80" s="5"/>
    </row>
    <row r="81" spans="1:2" ht="15.75">
      <c r="A81" t="s">
        <v>193</v>
      </c>
      <c r="B81" s="5"/>
    </row>
    <row r="82" spans="1:2" ht="12.75">
      <c r="A82" t="s">
        <v>194</v>
      </c>
      <c r="B82" s="5">
        <f>0.75*0.6*SQRT(fc)+700*B79*'Service Beam Design'!D116/C47/12</f>
        <v>236.67796305556197</v>
      </c>
    </row>
    <row r="83" spans="1:4" ht="12.75">
      <c r="A83" t="s">
        <v>192</v>
      </c>
      <c r="B83" s="5">
        <f>B79*1000/b/'Service Beam Design'!D116</f>
        <v>295.4384871091381</v>
      </c>
      <c r="D83" t="s">
        <v>195</v>
      </c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90" spans="2:3" s="8" customFormat="1" ht="12.75">
      <c r="B90" s="17" t="s">
        <v>140</v>
      </c>
      <c r="C90" s="17"/>
    </row>
    <row r="93" ht="12.75">
      <c r="G93" t="s">
        <v>94</v>
      </c>
    </row>
    <row r="95" spans="8:12" ht="12.75">
      <c r="H95" t="s">
        <v>95</v>
      </c>
      <c r="I95">
        <f>f1dead/wdead</f>
        <v>17.641471997604075</v>
      </c>
      <c r="K95" t="s">
        <v>97</v>
      </c>
      <c r="L95">
        <f>f1dead*I95/2</f>
        <v>645.1622404841816</v>
      </c>
    </row>
    <row r="97" spans="8:12" ht="12.75">
      <c r="H97" t="s">
        <v>96</v>
      </c>
      <c r="I97">
        <f>f4dead/wdead</f>
        <v>17.641471997604075</v>
      </c>
      <c r="K97" t="s">
        <v>97</v>
      </c>
      <c r="L97">
        <f>f4dead*I97/2</f>
        <v>645.1622404841816</v>
      </c>
    </row>
    <row r="98" spans="2:4" ht="12.75">
      <c r="B98" s="2"/>
      <c r="C98" s="2"/>
      <c r="D98" s="2"/>
    </row>
    <row r="100" spans="2:7" ht="12.75">
      <c r="B100" t="s">
        <v>81</v>
      </c>
      <c r="C100" t="s">
        <v>82</v>
      </c>
      <c r="D100" t="s">
        <v>83</v>
      </c>
      <c r="E100" t="s">
        <v>84</v>
      </c>
      <c r="G100" t="s">
        <v>100</v>
      </c>
    </row>
    <row r="101" spans="2:5" ht="12.75">
      <c r="B101">
        <f>wdead*(_l1+_l2+_l3)-f2dead-f3dead-f4dead</f>
        <v>73.14154290206649</v>
      </c>
      <c r="C101">
        <f>(f4dead*C110-C112)/C108</f>
        <v>152.81545709793352</v>
      </c>
      <c r="D101">
        <f>(0.5*wdead*(_l1+_l2+_l3)^2-f2dead*_l1-f4dead*(_l1+_l2+_l3))/(_l1+_l2)</f>
        <v>152.8154570979335</v>
      </c>
      <c r="E101">
        <f>(C111*C108+C112*C107)/(C110*C107-C109*C108)</f>
        <v>73.14154290206649</v>
      </c>
    </row>
    <row r="102" spans="8:9" ht="12.75">
      <c r="H102" t="s">
        <v>98</v>
      </c>
      <c r="I102">
        <f>f1dead*(_l1-I95)/I95</f>
        <v>100.9904570979335</v>
      </c>
    </row>
    <row r="104" spans="8:9" ht="12.75">
      <c r="H104" t="s">
        <v>99</v>
      </c>
      <c r="I104">
        <f>(f2dead-I102)/wdead</f>
        <v>12.500000000000004</v>
      </c>
    </row>
    <row r="106" spans="8:12" ht="12.75">
      <c r="H106" t="s">
        <v>104</v>
      </c>
      <c r="I106">
        <f>f4dead*(_l3-I97)/I97</f>
        <v>100.9904570979335</v>
      </c>
      <c r="K106" t="s">
        <v>97</v>
      </c>
      <c r="L106">
        <f>L95-I102*(_l1-I95)/2+(f2dead-I102)*I104/2</f>
        <v>-260.920948113207</v>
      </c>
    </row>
    <row r="107" spans="2:3" ht="15.75">
      <c r="B107" s="6" t="s">
        <v>88</v>
      </c>
      <c r="C107">
        <f>(_l1^2)*(_l2^2)/(3*(_l1+_l2))</f>
        <v>5485.074626865671</v>
      </c>
    </row>
    <row r="108" spans="2:7" ht="15.75">
      <c r="B108" t="s">
        <v>89</v>
      </c>
      <c r="C108">
        <f>(_l1*_l2*_l3*(2*_l1+_l2))/(6*(_l1+_l2))</f>
        <v>11957.462686567163</v>
      </c>
      <c r="G108" t="s">
        <v>101</v>
      </c>
    </row>
    <row r="109" spans="2:3" ht="15.75">
      <c r="B109" t="s">
        <v>90</v>
      </c>
      <c r="C109">
        <f>_l3*_l1*((_l1+_l2)^2-_l1^2)/(6*(_l1+_l2))</f>
        <v>11957.462686567163</v>
      </c>
    </row>
    <row r="110" spans="2:12" ht="15.75">
      <c r="B110" t="s">
        <v>91</v>
      </c>
      <c r="C110">
        <f>_l3^2*(_l1+_l2+_l3)/3</f>
        <v>64092</v>
      </c>
      <c r="H110" s="14" t="s">
        <v>102</v>
      </c>
      <c r="K110" t="s">
        <v>97</v>
      </c>
      <c r="L110">
        <f>L95-I102*(_l1-I95)/2</f>
        <v>-584.8271981132071</v>
      </c>
    </row>
    <row r="111" spans="2:3" ht="15.75">
      <c r="B111" t="s">
        <v>92</v>
      </c>
      <c r="C111">
        <f>wdead*_l1*((_l1+_l2)^4-2*(_l1+_l2)^2*_l1^2+(_l1+_l2)*_l1^3-2*_l3^2*(_l1+_l2)^2+2*_l3^2*_l1^2)/(24*(_l1+_l2))</f>
        <v>-36383.08376865672</v>
      </c>
    </row>
    <row r="112" spans="2:12" ht="15.75">
      <c r="B112" t="s">
        <v>93</v>
      </c>
      <c r="C112">
        <f>wdead*_l3*(4*_l3^2*(_l1+_l2)-(_l1+_l2)^3+3*_l3^3)/24</f>
        <v>2860502.6415</v>
      </c>
      <c r="H112" t="s">
        <v>103</v>
      </c>
      <c r="K112" t="s">
        <v>97</v>
      </c>
      <c r="L112">
        <f>f4dead*I97/2-I106*(_l3-I97)/2</f>
        <v>-584.8271981132071</v>
      </c>
    </row>
    <row r="114" ht="12.75">
      <c r="E114" t="s">
        <v>115</v>
      </c>
    </row>
    <row r="116" spans="2:8" ht="12.75">
      <c r="B116" s="2" t="s">
        <v>116</v>
      </c>
      <c r="C116" s="2" t="s">
        <v>117</v>
      </c>
      <c r="D116" s="2" t="s">
        <v>118</v>
      </c>
      <c r="E116" s="2" t="s">
        <v>117</v>
      </c>
      <c r="F116" s="2" t="s">
        <v>119</v>
      </c>
      <c r="G116" s="2" t="s">
        <v>117</v>
      </c>
      <c r="H116" s="2" t="s">
        <v>120</v>
      </c>
    </row>
    <row r="117" spans="2:8" ht="12.75">
      <c r="B117" s="2">
        <v>0</v>
      </c>
      <c r="C117" s="11">
        <f>L95</f>
        <v>645.1622404841816</v>
      </c>
      <c r="D117" s="11">
        <f>L110</f>
        <v>-584.8271981132071</v>
      </c>
      <c r="E117" s="11">
        <f>L106</f>
        <v>-260.920948113207</v>
      </c>
      <c r="F117" s="11">
        <f>L112</f>
        <v>-584.8271981132071</v>
      </c>
      <c r="G117" s="11">
        <f>L97</f>
        <v>645.1622404841816</v>
      </c>
      <c r="H117" s="2">
        <v>0</v>
      </c>
    </row>
    <row r="120" spans="2:3" s="8" customFormat="1" ht="12.75">
      <c r="B120" s="17" t="s">
        <v>142</v>
      </c>
      <c r="C120" s="17"/>
    </row>
    <row r="124" spans="7:8" ht="12.75">
      <c r="G124" t="s">
        <v>222</v>
      </c>
      <c r="H124">
        <f>wlive*_l3+(wlive/(2*_l2))*(_l3^2-_l1^2)</f>
        <v>97.97745033389013</v>
      </c>
    </row>
    <row r="125" spans="1:8" ht="12.75">
      <c r="A125" t="s">
        <v>124</v>
      </c>
      <c r="G125" t="s">
        <v>223</v>
      </c>
      <c r="H125">
        <f>wlive*(_l1+_l3)-_f22</f>
        <v>97.97745033389013</v>
      </c>
    </row>
    <row r="126" spans="7:8" ht="12.75">
      <c r="G126" t="s">
        <v>224</v>
      </c>
      <c r="H126">
        <f>IF(_l1&gt;_l3,wlive*_l2*(_l1^2-_l3^2)/4,wlive*_l2*(_l3^2-_l1^2)/4)</f>
        <v>0</v>
      </c>
    </row>
    <row r="127" spans="2:8" ht="15.75">
      <c r="B127" t="s">
        <v>230</v>
      </c>
      <c r="C127">
        <f>(_l1^2)*(_l1+_l2)/3</f>
        <v>39396</v>
      </c>
      <c r="G127" t="s">
        <v>225</v>
      </c>
      <c r="H127">
        <f>IF(_l1&gt;_l3,wlive*_l3^2*_l2/2,wlive*_l1^2*_l2/2)</f>
        <v>51438.161425292325</v>
      </c>
    </row>
    <row r="128" spans="2:8" ht="15.75">
      <c r="B128" t="s">
        <v>231</v>
      </c>
      <c r="C128">
        <f>_l1*_l2*_l3/6</f>
        <v>7350</v>
      </c>
      <c r="G128" t="s">
        <v>226</v>
      </c>
      <c r="H128">
        <f>wlive*_l1^3/6</f>
        <v>28805.370398163697</v>
      </c>
    </row>
    <row r="129" spans="2:8" ht="15.75">
      <c r="B129" t="s">
        <v>232</v>
      </c>
      <c r="C129">
        <f>_l1*_l2*_l3/6</f>
        <v>7350</v>
      </c>
      <c r="G129" t="s">
        <v>227</v>
      </c>
      <c r="H129">
        <f>wlive*_l3^3/6</f>
        <v>28805.370398163697</v>
      </c>
    </row>
    <row r="130" spans="2:8" ht="15.75">
      <c r="B130" t="s">
        <v>91</v>
      </c>
      <c r="C130">
        <f>_l3^2*(_l2+_l3)/3</f>
        <v>39396</v>
      </c>
      <c r="G130" t="s">
        <v>50</v>
      </c>
      <c r="H130" s="5">
        <f>IF(_l1&gt;_l3,(_a22*_l2/2+_a11*_l2/3)/(_a11+_a22),IF(_l3&gt;_l1,(_a22*_l2/2+_a11*2*_l2/3)/(_a11+_a22),_l2/2))</f>
        <v>12.5</v>
      </c>
    </row>
    <row r="131" spans="2:3" ht="15.75">
      <c r="B131" t="s">
        <v>229</v>
      </c>
      <c r="C131">
        <f>(wlive*_l1^4/8+_p1*_l1)</f>
        <v>1582495.036249118</v>
      </c>
    </row>
    <row r="132" spans="2:3" ht="15.75">
      <c r="B132" t="s">
        <v>93</v>
      </c>
      <c r="C132">
        <f>(wlive*_l3^4/8+_p2*_l3)</f>
        <v>1582495.036249118</v>
      </c>
    </row>
    <row r="133" spans="7:8" ht="12.75">
      <c r="G133" t="s">
        <v>220</v>
      </c>
      <c r="H133">
        <f>wlive*_l2*(_l1^2+_l3^2)/4</f>
        <v>51438.16142529232</v>
      </c>
    </row>
    <row r="134" spans="7:8" ht="12.75">
      <c r="G134" t="s">
        <v>228</v>
      </c>
      <c r="H134">
        <f>_p33-_p11</f>
        <v>25719.08071264616</v>
      </c>
    </row>
    <row r="135" spans="2:10" ht="12.75">
      <c r="B135" s="2" t="s">
        <v>81</v>
      </c>
      <c r="C135" s="2" t="s">
        <v>82</v>
      </c>
      <c r="D135" s="2" t="s">
        <v>83</v>
      </c>
      <c r="E135" s="2" t="s">
        <v>84</v>
      </c>
      <c r="G135" t="s">
        <v>221</v>
      </c>
      <c r="H135">
        <f>_p33*(_l2-_yy)/_l2</f>
        <v>25719.08071264616</v>
      </c>
      <c r="I135" s="2"/>
      <c r="J135" s="2"/>
    </row>
    <row r="136" spans="2:10" ht="12.75">
      <c r="B136" s="11">
        <f>(-1*E136*C129+C131)/C127</f>
        <v>33.85305772149741</v>
      </c>
      <c r="C136" s="11">
        <f>wlive*(_l1+_l3)-f4neg-f3neg-f1neg</f>
        <v>64.12439261239274</v>
      </c>
      <c r="D136" s="11">
        <f>(f1neg*_l1+wlive*_l3*(0.5*_l3+_l2)-wlive*_l1^2/2-f4neg*(_l2+_l3))/_l2</f>
        <v>64.12439261239271</v>
      </c>
      <c r="E136" s="11">
        <f>(C132*C127-C131*C128)/(C130*C127-C129*C128)</f>
        <v>33.853057721497414</v>
      </c>
      <c r="G136" s="11"/>
      <c r="H136" s="11"/>
      <c r="I136" s="11"/>
      <c r="J136" s="11"/>
    </row>
    <row r="137" spans="2:5" ht="12.75">
      <c r="B137" s="11"/>
      <c r="C137" s="11"/>
      <c r="D137" s="11"/>
      <c r="E137" s="11"/>
    </row>
    <row r="138" spans="2:5" ht="12.75">
      <c r="B138" s="11"/>
      <c r="C138" s="11"/>
      <c r="D138" s="11"/>
      <c r="E138" s="11"/>
    </row>
    <row r="143" ht="12.75">
      <c r="G143" t="s">
        <v>94</v>
      </c>
    </row>
    <row r="145" spans="8:12" ht="12.75">
      <c r="H145" t="s">
        <v>95</v>
      </c>
      <c r="I145" s="5">
        <f>f1neg/wlive</f>
        <v>14.511792452830186</v>
      </c>
      <c r="K145" t="s">
        <v>97</v>
      </c>
      <c r="L145" s="5">
        <f>f1neg*I145/2</f>
        <v>245.63427377402536</v>
      </c>
    </row>
    <row r="146" spans="9:12" ht="12.75">
      <c r="I146" s="5"/>
      <c r="L146" s="5"/>
    </row>
    <row r="147" spans="8:12" ht="12.75">
      <c r="H147" t="s">
        <v>96</v>
      </c>
      <c r="I147" s="5">
        <f>f4neg/wlive</f>
        <v>14.51179245283019</v>
      </c>
      <c r="K147" t="s">
        <v>97</v>
      </c>
      <c r="L147" s="5">
        <f>f4neg*I147/2</f>
        <v>245.63427377402547</v>
      </c>
    </row>
    <row r="148" ht="12.75">
      <c r="I148" s="5"/>
    </row>
    <row r="149" spans="8:9" ht="12.75">
      <c r="H149" t="s">
        <v>123</v>
      </c>
      <c r="I149" s="5">
        <f>(_l3-I147)*f4neg/I147</f>
        <v>64.12439261239271</v>
      </c>
    </row>
    <row r="152" spans="7:9" ht="12.75">
      <c r="G152" t="s">
        <v>100</v>
      </c>
      <c r="I152" s="5"/>
    </row>
    <row r="153" ht="12.75">
      <c r="I153" s="5"/>
    </row>
    <row r="154" spans="8:9" ht="12.75">
      <c r="H154" t="s">
        <v>112</v>
      </c>
      <c r="I154" s="5">
        <f>f1neg*(_l1-I145)/I145</f>
        <v>64.12439261239273</v>
      </c>
    </row>
    <row r="156" spans="8:9" ht="12.75">
      <c r="H156" t="s">
        <v>97</v>
      </c>
      <c r="I156" s="5">
        <f>MAX(J163,J161,0)</f>
        <v>0</v>
      </c>
    </row>
    <row r="159" ht="12.75">
      <c r="G159" t="s">
        <v>101</v>
      </c>
    </row>
    <row r="161" spans="8:10" ht="12.75">
      <c r="H161" s="14" t="s">
        <v>102</v>
      </c>
      <c r="I161" t="s">
        <v>97</v>
      </c>
      <c r="J161" s="5">
        <f>L145-I154*(_l1-I145)/2</f>
        <v>-635.6980327088016</v>
      </c>
    </row>
    <row r="162" ht="12.75">
      <c r="J162" s="5"/>
    </row>
    <row r="163" spans="8:10" ht="12.75">
      <c r="H163" t="s">
        <v>103</v>
      </c>
      <c r="I163" t="s">
        <v>97</v>
      </c>
      <c r="J163" s="5">
        <f>J161+(f2neg-I154)*_l2</f>
        <v>-635.6980327088013</v>
      </c>
    </row>
    <row r="165" ht="12.75">
      <c r="J165" s="5"/>
    </row>
    <row r="166" spans="5:10" ht="12.75">
      <c r="E166" t="s">
        <v>115</v>
      </c>
      <c r="J166" s="5"/>
    </row>
    <row r="167" ht="12.75">
      <c r="J167" s="5"/>
    </row>
    <row r="168" spans="2:10" ht="12.75">
      <c r="B168" s="2" t="s">
        <v>116</v>
      </c>
      <c r="C168" s="2" t="s">
        <v>117</v>
      </c>
      <c r="D168" s="2" t="s">
        <v>118</v>
      </c>
      <c r="E168" s="2" t="s">
        <v>117</v>
      </c>
      <c r="F168" s="2" t="s">
        <v>119</v>
      </c>
      <c r="G168" s="2" t="s">
        <v>117</v>
      </c>
      <c r="H168" s="2" t="s">
        <v>120</v>
      </c>
      <c r="J168" s="5"/>
    </row>
    <row r="169" spans="2:10" ht="12.75">
      <c r="B169" s="2">
        <v>0</v>
      </c>
      <c r="C169" s="11">
        <f>L145</f>
        <v>245.63427377402536</v>
      </c>
      <c r="D169" s="11">
        <f>J161</f>
        <v>-635.6980327088016</v>
      </c>
      <c r="E169" s="11">
        <f>I156</f>
        <v>0</v>
      </c>
      <c r="F169" s="11">
        <f>J163</f>
        <v>-635.6980327088013</v>
      </c>
      <c r="G169" s="11">
        <f>L147</f>
        <v>245.63427377402547</v>
      </c>
      <c r="H169" s="2">
        <v>0</v>
      </c>
      <c r="J169" s="5"/>
    </row>
    <row r="172" spans="2:3" s="8" customFormat="1" ht="12.75">
      <c r="B172" s="16" t="s">
        <v>141</v>
      </c>
      <c r="C172" s="16"/>
    </row>
    <row r="177" ht="12.75">
      <c r="G177" t="s">
        <v>94</v>
      </c>
    </row>
    <row r="178" spans="2:5" ht="12.75">
      <c r="B178" t="s">
        <v>81</v>
      </c>
      <c r="C178" t="s">
        <v>82</v>
      </c>
      <c r="D178" t="s">
        <v>83</v>
      </c>
      <c r="E178" t="s">
        <v>84</v>
      </c>
    </row>
    <row r="179" spans="2:12" ht="12.75">
      <c r="B179" s="5">
        <f>wlive*(_l1+_l2)-f2pos1-f3pos1-f4pos1</f>
        <v>39.669970124688746</v>
      </c>
      <c r="C179" s="5">
        <f>(E179*C188-C190)/C186</f>
        <v>103.32360285736605</v>
      </c>
      <c r="D179" s="5">
        <f>-1*(f4pos1*(_l1+_l2+_l3)+f2pos1*_l1+-1*wlive*(_l1+_l2)*((_l1+_l2)/2))/(_l2+_l1)</f>
        <v>13.184348550187082</v>
      </c>
      <c r="E179" s="5">
        <f>(C189*C186+C190*C185)/(C188*C185-C187*C186)</f>
        <v>0.11943971467807658</v>
      </c>
      <c r="H179" t="s">
        <v>95</v>
      </c>
      <c r="I179" s="5">
        <f>f1pos1/wlive</f>
        <v>17.00532867061774</v>
      </c>
      <c r="K179" t="s">
        <v>97</v>
      </c>
      <c r="L179" s="5">
        <f>f1pos1*I179/2</f>
        <v>337.30044016195933</v>
      </c>
    </row>
    <row r="180" spans="9:12" ht="12.75">
      <c r="I180" s="5"/>
      <c r="L180" s="5"/>
    </row>
    <row r="181" spans="8:12" ht="12.75">
      <c r="H181" t="s">
        <v>96</v>
      </c>
      <c r="I181" s="5">
        <f>ABS(f4pos1/wlive)</f>
        <v>0.05120023025077674</v>
      </c>
      <c r="K181" t="s">
        <v>97</v>
      </c>
      <c r="L181" s="5">
        <f>MAX(L193,0)</f>
        <v>0</v>
      </c>
    </row>
    <row r="182" spans="9:12" ht="12.75">
      <c r="I182" s="5"/>
      <c r="L182" s="5"/>
    </row>
    <row r="183" spans="1:7" ht="12.75">
      <c r="A183" t="s">
        <v>114</v>
      </c>
      <c r="G183" t="s">
        <v>100</v>
      </c>
    </row>
    <row r="184" spans="9:12" ht="12.75">
      <c r="I184" s="5"/>
      <c r="L184" s="5"/>
    </row>
    <row r="185" spans="2:12" ht="15.75">
      <c r="B185" s="6" t="s">
        <v>88</v>
      </c>
      <c r="C185">
        <f>(_l1^2)*(_l2^2)/(3*(_l1+_l2))</f>
        <v>5485.074626865671</v>
      </c>
      <c r="H185" t="s">
        <v>98</v>
      </c>
      <c r="I185" s="5">
        <f>f1pos1*(_l1-I179)/I179</f>
        <v>58.30748020920138</v>
      </c>
      <c r="L185" s="5"/>
    </row>
    <row r="186" spans="2:12" ht="15.75">
      <c r="B186" t="s">
        <v>89</v>
      </c>
      <c r="C186">
        <f>(_l1*_l2*_l3*(2*_l1+_l2))/(6*(_l1+_l2))</f>
        <v>11957.462686567163</v>
      </c>
      <c r="I186" s="5"/>
      <c r="L186" s="5"/>
    </row>
    <row r="187" spans="2:12" ht="15.75">
      <c r="B187" t="s">
        <v>90</v>
      </c>
      <c r="C187">
        <f>_l3*_l1*((_l1+_l2)^2-_l1^2)/(6*(_l1+_l2))</f>
        <v>11957.462686567163</v>
      </c>
      <c r="H187" t="s">
        <v>99</v>
      </c>
      <c r="I187" s="5">
        <f>(f2pos1-I185)/wlive</f>
        <v>19.297064220183493</v>
      </c>
      <c r="K187" t="s">
        <v>97</v>
      </c>
      <c r="L187" s="5">
        <f>L191+(f2pos1-I185)*I187/2</f>
        <v>42.951793067879805</v>
      </c>
    </row>
    <row r="188" spans="2:3" ht="15.75">
      <c r="B188" t="s">
        <v>91</v>
      </c>
      <c r="C188">
        <f>_l3^2*(_l1+_l2+_l3)/3</f>
        <v>64092</v>
      </c>
    </row>
    <row r="189" spans="2:7" ht="15.75">
      <c r="B189" t="s">
        <v>92</v>
      </c>
      <c r="C189">
        <f>wlive*_l1*((_l1+_l2)^3-2*(_l1+_l2)*(_l1^2)+_l1^3)/24</f>
        <v>565309.4764577266</v>
      </c>
      <c r="G189" t="s">
        <v>101</v>
      </c>
    </row>
    <row r="190" spans="2:3" ht="15.75">
      <c r="B190" t="s">
        <v>93</v>
      </c>
      <c r="C190">
        <f>-1*wlive*(_l1+_l2)^3*_l3/24</f>
        <v>-1227832.9956154916</v>
      </c>
    </row>
    <row r="191" spans="8:12" ht="12.75">
      <c r="H191" s="14" t="s">
        <v>102</v>
      </c>
      <c r="I191" s="5"/>
      <c r="K191" t="s">
        <v>97</v>
      </c>
      <c r="L191" s="5">
        <f>L179-I185*(_l1-I179)/2</f>
        <v>-391.38771177476536</v>
      </c>
    </row>
    <row r="192" spans="9:12" ht="12.75">
      <c r="I192" s="5"/>
      <c r="L192" s="5"/>
    </row>
    <row r="193" spans="8:12" ht="12.75">
      <c r="H193" t="s">
        <v>103</v>
      </c>
      <c r="I193" s="5"/>
      <c r="K193" t="s">
        <v>97</v>
      </c>
      <c r="L193" s="5">
        <f>MIN(f4pos1*_l3,0)</f>
        <v>0</v>
      </c>
    </row>
    <row r="194" spans="9:12" ht="12.75">
      <c r="I194" s="5"/>
      <c r="L194" s="5"/>
    </row>
    <row r="196" ht="12.75">
      <c r="E196" t="s">
        <v>115</v>
      </c>
    </row>
    <row r="198" spans="2:8" ht="12.75">
      <c r="B198" s="2" t="s">
        <v>116</v>
      </c>
      <c r="C198" s="2" t="s">
        <v>117</v>
      </c>
      <c r="D198" s="2" t="s">
        <v>118</v>
      </c>
      <c r="E198" s="2" t="s">
        <v>117</v>
      </c>
      <c r="F198" s="2" t="s">
        <v>119</v>
      </c>
      <c r="G198" s="2" t="s">
        <v>117</v>
      </c>
      <c r="H198" s="2" t="s">
        <v>120</v>
      </c>
    </row>
    <row r="199" spans="2:8" ht="12.75">
      <c r="B199" s="2">
        <v>0</v>
      </c>
      <c r="C199" s="11">
        <f>L179</f>
        <v>337.30044016195933</v>
      </c>
      <c r="D199" s="11">
        <f>L191</f>
        <v>-391.38771177476536</v>
      </c>
      <c r="E199" s="11">
        <f>L187</f>
        <v>42.951793067879805</v>
      </c>
      <c r="F199" s="11">
        <f>L193</f>
        <v>0</v>
      </c>
      <c r="G199" s="11">
        <f>L181</f>
        <v>0</v>
      </c>
      <c r="H199" s="2">
        <v>0</v>
      </c>
    </row>
    <row r="201" spans="1:3" ht="12.75">
      <c r="A201" s="2" t="s">
        <v>121</v>
      </c>
      <c r="B201" s="2" t="s">
        <v>132</v>
      </c>
      <c r="C201" s="2" t="s">
        <v>122</v>
      </c>
    </row>
    <row r="202" spans="1:3" ht="12.75">
      <c r="A202" s="2">
        <f>_l3</f>
        <v>42</v>
      </c>
      <c r="B202" s="2">
        <f>_l2</f>
        <v>25</v>
      </c>
      <c r="C202" s="2">
        <f>_l1</f>
        <v>42</v>
      </c>
    </row>
    <row r="204" ht="12.75">
      <c r="G204" t="s">
        <v>94</v>
      </c>
    </row>
    <row r="205" spans="2:5" ht="12.75">
      <c r="B205" t="s">
        <v>81</v>
      </c>
      <c r="C205" t="s">
        <v>82</v>
      </c>
      <c r="D205" t="s">
        <v>83</v>
      </c>
      <c r="E205" t="s">
        <v>84</v>
      </c>
    </row>
    <row r="206" spans="2:12" ht="12.75">
      <c r="B206" s="5">
        <f>wlive*(_l1+_l2)-f2pos2-f3pos2-f4pos2</f>
        <v>39.669970124688746</v>
      </c>
      <c r="C206">
        <f>(f4pos2*C215-C217)/C213</f>
        <v>103.32360285736605</v>
      </c>
      <c r="D206" s="5">
        <f>-1*(f4pos2*(_l1+_l2+_l3)+f2pos2*_l1+-1*wlive*(_l1+_l2)*((_l1+_l2)/2))/(_l2+_l1)</f>
        <v>13.184348550187082</v>
      </c>
      <c r="E206">
        <f>(C216*C213+C217*C212)/(C215*C212-C214*C213)</f>
        <v>0.11943971467807658</v>
      </c>
      <c r="H206" t="s">
        <v>95</v>
      </c>
      <c r="I206" s="5">
        <f>f1pos2/wlive</f>
        <v>17.00532867061774</v>
      </c>
      <c r="K206" t="s">
        <v>97</v>
      </c>
      <c r="L206" s="5">
        <f>f1pos2*I206/2</f>
        <v>337.30044016195933</v>
      </c>
    </row>
    <row r="207" spans="9:12" ht="12.75">
      <c r="I207" s="5"/>
      <c r="L207" s="5"/>
    </row>
    <row r="208" spans="8:12" ht="12.75">
      <c r="H208" t="s">
        <v>96</v>
      </c>
      <c r="I208" s="5">
        <f>ABS(f4pos2/wlive)</f>
        <v>0.05120023025077674</v>
      </c>
      <c r="K208" t="s">
        <v>97</v>
      </c>
      <c r="L208" s="5">
        <f>MAX(L220,0)</f>
        <v>0</v>
      </c>
    </row>
    <row r="209" spans="9:12" ht="12.75">
      <c r="I209" s="5"/>
      <c r="L209" s="5"/>
    </row>
    <row r="210" spans="1:7" ht="12.75">
      <c r="A210" t="s">
        <v>114</v>
      </c>
      <c r="G210" t="s">
        <v>100</v>
      </c>
    </row>
    <row r="211" spans="9:12" ht="12.75">
      <c r="I211" s="5"/>
      <c r="L211" s="5"/>
    </row>
    <row r="212" spans="2:12" ht="15.75">
      <c r="B212" s="6" t="s">
        <v>88</v>
      </c>
      <c r="C212">
        <f>(_l1^2)*(_l2^2)/(3*(_l1+_l2))</f>
        <v>5485.074626865671</v>
      </c>
      <c r="H212" t="s">
        <v>98</v>
      </c>
      <c r="I212" s="5">
        <f>f1pos2*(_l1-I206)/I206</f>
        <v>58.30748020920138</v>
      </c>
      <c r="L212" s="5"/>
    </row>
    <row r="213" spans="2:12" ht="15.75">
      <c r="B213" t="s">
        <v>89</v>
      </c>
      <c r="C213">
        <f>(_l1*_l2*_l3*(2*_l1+_l2))/(6*(_l1+_l2))</f>
        <v>11957.462686567163</v>
      </c>
      <c r="I213" s="5"/>
      <c r="L213" s="5"/>
    </row>
    <row r="214" spans="2:12" ht="15.75">
      <c r="B214" t="s">
        <v>90</v>
      </c>
      <c r="C214">
        <f>_l3*_l1*((_l1+_l2)^2-_l1^2)/(6*(_l1+_l2))</f>
        <v>11957.462686567163</v>
      </c>
      <c r="H214" t="s">
        <v>99</v>
      </c>
      <c r="I214" s="5">
        <f>(f2pos2-I212)/wlive</f>
        <v>19.297064220183493</v>
      </c>
      <c r="K214" t="s">
        <v>97</v>
      </c>
      <c r="L214" s="5">
        <f>L218+(f2pos2-I212)*I214/2</f>
        <v>42.951793067879805</v>
      </c>
    </row>
    <row r="215" spans="2:3" ht="15.75">
      <c r="B215" t="s">
        <v>91</v>
      </c>
      <c r="C215">
        <f>_l3^2*(_l1+_l2+_l3)/3</f>
        <v>64092</v>
      </c>
    </row>
    <row r="216" spans="2:7" ht="15.75">
      <c r="B216" t="s">
        <v>92</v>
      </c>
      <c r="C216">
        <f>wlive*_l1*((_l1+_l2)^3-2*(_l1+_l2)*(_l1^2)+_l1^3)/24</f>
        <v>565309.4764577266</v>
      </c>
      <c r="G216" t="s">
        <v>101</v>
      </c>
    </row>
    <row r="217" spans="2:3" ht="15.75">
      <c r="B217" t="s">
        <v>93</v>
      </c>
      <c r="C217">
        <f>-1*wlive*(_l1+_l2)^3*_l3/24</f>
        <v>-1227832.9956154916</v>
      </c>
    </row>
    <row r="218" spans="8:12" ht="12.75">
      <c r="H218" s="14" t="s">
        <v>102</v>
      </c>
      <c r="I218" s="5"/>
      <c r="K218" t="s">
        <v>97</v>
      </c>
      <c r="L218" s="5">
        <f>L206-I212*(_l1-I206)/2</f>
        <v>-391.38771177476536</v>
      </c>
    </row>
    <row r="219" spans="9:12" ht="12.75">
      <c r="I219" s="5"/>
      <c r="L219" s="5"/>
    </row>
    <row r="220" spans="8:12" ht="12.75">
      <c r="H220" t="s">
        <v>103</v>
      </c>
      <c r="I220" s="5"/>
      <c r="K220" t="s">
        <v>97</v>
      </c>
      <c r="L220" s="5">
        <f>MIN(f4pos2*_l3,0)</f>
        <v>0</v>
      </c>
    </row>
    <row r="221" spans="9:12" ht="12.75">
      <c r="I221" s="5"/>
      <c r="L221" s="5"/>
    </row>
    <row r="223" ht="12.75">
      <c r="E223" t="s">
        <v>115</v>
      </c>
    </row>
    <row r="225" spans="2:8" ht="12.75">
      <c r="B225" s="2" t="s">
        <v>116</v>
      </c>
      <c r="C225" s="2" t="s">
        <v>117</v>
      </c>
      <c r="D225" s="2" t="s">
        <v>118</v>
      </c>
      <c r="E225" s="2" t="s">
        <v>117</v>
      </c>
      <c r="F225" s="2" t="s">
        <v>119</v>
      </c>
      <c r="G225" s="2" t="s">
        <v>117</v>
      </c>
      <c r="H225" s="2" t="s">
        <v>120</v>
      </c>
    </row>
    <row r="226" spans="2:8" ht="12.75">
      <c r="B226" s="2">
        <v>0</v>
      </c>
      <c r="C226" s="11">
        <f>L208</f>
        <v>0</v>
      </c>
      <c r="D226" s="11">
        <f>L220</f>
        <v>0</v>
      </c>
      <c r="E226" s="11">
        <f>L214</f>
        <v>42.951793067879805</v>
      </c>
      <c r="F226" s="11">
        <f>L218</f>
        <v>-391.38771177476536</v>
      </c>
      <c r="G226" s="11">
        <f>L206</f>
        <v>337.30044016195933</v>
      </c>
      <c r="H226" s="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F10" sqref="F10"/>
    </sheetView>
  </sheetViews>
  <sheetFormatPr defaultColWidth="9.140625" defaultRowHeight="12.75"/>
  <sheetData>
    <row r="1" ht="12.75">
      <c r="A1" t="s">
        <v>196</v>
      </c>
    </row>
    <row r="3" spans="1:11" ht="12.75">
      <c r="A3" t="s">
        <v>197</v>
      </c>
      <c r="K3" t="s">
        <v>245</v>
      </c>
    </row>
    <row r="5" spans="1:4" ht="12.75">
      <c r="A5" t="s">
        <v>198</v>
      </c>
      <c r="D5">
        <v>1</v>
      </c>
    </row>
    <row r="6" spans="1:3" ht="12.75">
      <c r="A6" t="s">
        <v>200</v>
      </c>
      <c r="C6" s="5">
        <f>'Service Beam Design'!D69</f>
        <v>64.16666666666667</v>
      </c>
    </row>
    <row r="7" spans="1:3" ht="12.75">
      <c r="A7" t="s">
        <v>15</v>
      </c>
      <c r="B7" t="s">
        <v>135</v>
      </c>
      <c r="C7" s="5">
        <f>80</f>
        <v>80</v>
      </c>
    </row>
    <row r="8" spans="1:3" ht="12.75">
      <c r="A8" t="s">
        <v>202</v>
      </c>
      <c r="B8" t="s">
        <v>135</v>
      </c>
      <c r="C8" s="5">
        <f>C7+C6</f>
        <v>144.16666666666669</v>
      </c>
    </row>
    <row r="9" spans="1:3" ht="12.75">
      <c r="A9" t="s">
        <v>199</v>
      </c>
      <c r="C9" s="5">
        <f>'Service Beam Design'!D69*D5</f>
        <v>64.16666666666667</v>
      </c>
    </row>
    <row r="11" spans="1:3" ht="12.75">
      <c r="A11" t="s">
        <v>201</v>
      </c>
      <c r="B11" t="s">
        <v>135</v>
      </c>
      <c r="C11" s="5">
        <f>C8-C9</f>
        <v>80.00000000000001</v>
      </c>
    </row>
    <row r="13" ht="12.75">
      <c r="A13" t="s">
        <v>203</v>
      </c>
    </row>
    <row r="15" spans="1:3" ht="12.75">
      <c r="A15" t="s">
        <v>148</v>
      </c>
      <c r="B15" t="s">
        <v>135</v>
      </c>
      <c r="C15">
        <f>(C9/1000)*'Service Beam Design'!C104^2/8</f>
        <v>6.288333333333334</v>
      </c>
    </row>
    <row r="16" spans="1:2" ht="12.75">
      <c r="A16" t="s">
        <v>181</v>
      </c>
      <c r="B16">
        <f>hslab-3.5</f>
        <v>3.5</v>
      </c>
    </row>
    <row r="17" spans="1:2" ht="12.75">
      <c r="A17" t="s">
        <v>155</v>
      </c>
      <c r="B17">
        <f>C15*12/B16</f>
        <v>21.560000000000002</v>
      </c>
    </row>
    <row r="18" spans="1:2" ht="12.75">
      <c r="A18" t="s">
        <v>204</v>
      </c>
      <c r="B18">
        <f>(B17/(hslab*12))*1000</f>
        <v>256.6666666666667</v>
      </c>
    </row>
    <row r="19" spans="1:2" ht="12.75">
      <c r="A19" t="s">
        <v>182</v>
      </c>
      <c r="B19">
        <f>(C11/1000)*'Service Beam Design'!C104^2/11</f>
        <v>5.701818181818183</v>
      </c>
    </row>
    <row r="22" spans="1:7" ht="12.75">
      <c r="A22" t="s">
        <v>205</v>
      </c>
      <c r="B22" t="s">
        <v>135</v>
      </c>
      <c r="C22">
        <f>B18</f>
        <v>256.6666666666667</v>
      </c>
      <c r="D22" t="s">
        <v>133</v>
      </c>
      <c r="E22">
        <f>1000*(12*B19)/'Service Beam Design'!D62</f>
        <v>698.1818181818182</v>
      </c>
      <c r="F22" t="s">
        <v>135</v>
      </c>
      <c r="G22">
        <f>C22+E22</f>
        <v>954.848484848485</v>
      </c>
    </row>
    <row r="23" spans="4:7" ht="12.75">
      <c r="D23" t="s">
        <v>134</v>
      </c>
      <c r="E23">
        <f>E22</f>
        <v>698.1818181818182</v>
      </c>
      <c r="F23" t="s">
        <v>135</v>
      </c>
      <c r="G23">
        <f>C22-E23</f>
        <v>-441.51515151515156</v>
      </c>
    </row>
    <row r="26" ht="12.75">
      <c r="A26" t="s">
        <v>206</v>
      </c>
    </row>
    <row r="28" spans="1:2" ht="12.75">
      <c r="A28" t="s">
        <v>148</v>
      </c>
      <c r="B28">
        <f>C15</f>
        <v>6.288333333333334</v>
      </c>
    </row>
    <row r="29" spans="1:2" ht="12.75">
      <c r="A29" t="s">
        <v>181</v>
      </c>
      <c r="B29">
        <f>hslab-(1.25+((1.25+hslab/2)/2))</f>
        <v>3.375</v>
      </c>
    </row>
    <row r="30" spans="1:2" ht="12.75">
      <c r="A30" t="s">
        <v>155</v>
      </c>
      <c r="B30">
        <f>B28*12/1.875</f>
        <v>40.245333333333335</v>
      </c>
    </row>
    <row r="31" spans="1:2" ht="12.75">
      <c r="A31" t="s">
        <v>204</v>
      </c>
      <c r="B31">
        <f>(B30/'Service Beam Design'!D61)*1000</f>
        <v>479.11111111111114</v>
      </c>
    </row>
    <row r="32" spans="1:2" ht="12.75">
      <c r="A32" t="s">
        <v>182</v>
      </c>
      <c r="B32">
        <f>(C11/1000)*'Service Beam Design'!C104^2/10</f>
        <v>6.272000000000001</v>
      </c>
    </row>
    <row r="35" spans="1:7" ht="12.75">
      <c r="A35" t="s">
        <v>205</v>
      </c>
      <c r="B35" t="s">
        <v>135</v>
      </c>
      <c r="C35">
        <f>B31</f>
        <v>479.11111111111114</v>
      </c>
      <c r="D35" t="s">
        <v>133</v>
      </c>
      <c r="E35">
        <f>1000*(12*B32)/'Service Beam Design'!D62</f>
        <v>768.0000000000001</v>
      </c>
      <c r="F35" t="s">
        <v>135</v>
      </c>
      <c r="G35">
        <f>C35+E35</f>
        <v>1247.1111111111113</v>
      </c>
    </row>
    <row r="36" spans="4:7" ht="12.75">
      <c r="D36" t="s">
        <v>134</v>
      </c>
      <c r="E36">
        <f>E35</f>
        <v>768.0000000000001</v>
      </c>
      <c r="F36" t="s">
        <v>135</v>
      </c>
      <c r="G36">
        <f>C35-E36</f>
        <v>-288.88888888888897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fmb112</dc:creator>
  <cp:keywords/>
  <dc:description/>
  <cp:lastModifiedBy>fmb112</cp:lastModifiedBy>
  <dcterms:created xsi:type="dcterms:W3CDTF">2005-12-07T00:52:17Z</dcterms:created>
  <dcterms:modified xsi:type="dcterms:W3CDTF">2006-02-22T23:24:24Z</dcterms:modified>
  <cp:category/>
  <cp:version/>
  <cp:contentType/>
  <cp:contentStatus/>
</cp:coreProperties>
</file>