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6305" windowHeight="10770" activeTab="0"/>
  </bookViews>
  <sheets>
    <sheet name="Wind" sheetId="1" r:id="rId1"/>
    <sheet name="Seismic" sheetId="2" r:id="rId2"/>
    <sheet name="Load Summary" sheetId="3" r:id="rId3"/>
    <sheet name="(formula_data)" sheetId="4" r:id="rId4"/>
  </sheets>
  <definedNames>
    <definedName name="encs">'(formula_data)'!$B$23:$B$26</definedName>
    <definedName name="_xlnm.Print_Area" localSheetId="1">'Seismic'!$A$1:$O$49</definedName>
    <definedName name="_xlnm.Print_Area" localSheetId="0">'Wind'!$A$1:$AA$55</definedName>
  </definedNames>
  <calcPr fullCalcOnLoad="1"/>
</workbook>
</file>

<file path=xl/sharedStrings.xml><?xml version="1.0" encoding="utf-8"?>
<sst xmlns="http://schemas.openxmlformats.org/spreadsheetml/2006/main" count="255" uniqueCount="187">
  <si>
    <t>Building Properties</t>
  </si>
  <si>
    <t>B</t>
  </si>
  <si>
    <t>Z(ft)</t>
  </si>
  <si>
    <t>0-15</t>
  </si>
  <si>
    <t>Exposure</t>
  </si>
  <si>
    <t>C</t>
  </si>
  <si>
    <t>a</t>
  </si>
  <si>
    <t>D</t>
  </si>
  <si>
    <t>c</t>
  </si>
  <si>
    <t>∈</t>
  </si>
  <si>
    <t>l</t>
  </si>
  <si>
    <r>
      <t>K</t>
    </r>
    <r>
      <rPr>
        <vertAlign val="subscript"/>
        <sz val="10"/>
        <rFont val="Helvetica"/>
        <family val="2"/>
      </rPr>
      <t>zt</t>
    </r>
  </si>
  <si>
    <r>
      <t>K</t>
    </r>
    <r>
      <rPr>
        <vertAlign val="subscript"/>
        <sz val="10"/>
        <rFont val="Helvetica"/>
        <family val="2"/>
      </rPr>
      <t>d</t>
    </r>
  </si>
  <si>
    <r>
      <t>z</t>
    </r>
    <r>
      <rPr>
        <vertAlign val="subscript"/>
        <sz val="10"/>
        <rFont val="Helvetica"/>
        <family val="2"/>
      </rPr>
      <t>g</t>
    </r>
  </si>
  <si>
    <r>
      <t>z</t>
    </r>
    <r>
      <rPr>
        <vertAlign val="subscript"/>
        <sz val="10"/>
        <rFont val="Helvetica"/>
        <family val="2"/>
      </rPr>
      <t>min</t>
    </r>
  </si>
  <si>
    <r>
      <t>K</t>
    </r>
    <r>
      <rPr>
        <vertAlign val="subscript"/>
        <sz val="10"/>
        <rFont val="Helvetica"/>
        <family val="2"/>
      </rPr>
      <t>z</t>
    </r>
  </si>
  <si>
    <r>
      <t>q</t>
    </r>
    <r>
      <rPr>
        <vertAlign val="subscript"/>
        <sz val="10"/>
        <rFont val="Helvetica"/>
        <family val="2"/>
      </rPr>
      <t>z</t>
    </r>
  </si>
  <si>
    <t>Importance</t>
  </si>
  <si>
    <t>III</t>
  </si>
  <si>
    <t>Exposer Values</t>
  </si>
  <si>
    <r>
      <t>I</t>
    </r>
    <r>
      <rPr>
        <vertAlign val="subscript"/>
        <sz val="10"/>
        <rFont val="Helvetica"/>
        <family val="2"/>
      </rPr>
      <t>w</t>
    </r>
  </si>
  <si>
    <t>Period Parameters</t>
  </si>
  <si>
    <t>x</t>
  </si>
  <si>
    <r>
      <t>C</t>
    </r>
    <r>
      <rPr>
        <vertAlign val="subscript"/>
        <sz val="10"/>
        <rFont val="Helvetica"/>
        <family val="2"/>
      </rPr>
      <t>t</t>
    </r>
  </si>
  <si>
    <t>Concrete</t>
  </si>
  <si>
    <t>steel</t>
  </si>
  <si>
    <t>conc</t>
  </si>
  <si>
    <t>other</t>
  </si>
  <si>
    <t>ecc steel</t>
  </si>
  <si>
    <t>Period Calcs</t>
  </si>
  <si>
    <r>
      <t>C</t>
    </r>
    <r>
      <rPr>
        <vertAlign val="subscript"/>
        <sz val="10"/>
        <rFont val="Arial"/>
        <family val="2"/>
      </rPr>
      <t>t</t>
    </r>
  </si>
  <si>
    <t>Eng. Units</t>
  </si>
  <si>
    <t>Struct. Type</t>
  </si>
  <si>
    <t>(check eq) T</t>
  </si>
  <si>
    <t>Rigidity</t>
  </si>
  <si>
    <t>Rigid</t>
  </si>
  <si>
    <t>Flexible</t>
  </si>
  <si>
    <r>
      <t>g</t>
    </r>
    <r>
      <rPr>
        <vertAlign val="subscript"/>
        <sz val="10"/>
        <rFont val="Helvetica"/>
        <family val="2"/>
      </rPr>
      <t>Q</t>
    </r>
    <r>
      <rPr>
        <sz val="10"/>
        <rFont val="Helvetica"/>
        <family val="2"/>
      </rPr>
      <t>=g</t>
    </r>
    <r>
      <rPr>
        <vertAlign val="subscript"/>
        <sz val="10"/>
        <rFont val="Helvetica"/>
        <family val="2"/>
      </rPr>
      <t>v</t>
    </r>
  </si>
  <si>
    <t>ž</t>
  </si>
  <si>
    <r>
      <t>L</t>
    </r>
    <r>
      <rPr>
        <vertAlign val="subscript"/>
        <sz val="10"/>
        <rFont val="Helvetica"/>
        <family val="2"/>
      </rPr>
      <t>ž</t>
    </r>
  </si>
  <si>
    <r>
      <t>I</t>
    </r>
    <r>
      <rPr>
        <vertAlign val="subscript"/>
        <sz val="10"/>
        <rFont val="Helvetica"/>
        <family val="2"/>
      </rPr>
      <t>ž</t>
    </r>
  </si>
  <si>
    <t>Q</t>
  </si>
  <si>
    <t>G</t>
  </si>
  <si>
    <r>
      <t>g</t>
    </r>
    <r>
      <rPr>
        <vertAlign val="subscript"/>
        <sz val="10"/>
        <rFont val="Helvetica"/>
        <family val="2"/>
      </rPr>
      <t>R</t>
    </r>
  </si>
  <si>
    <r>
      <t>N</t>
    </r>
    <r>
      <rPr>
        <vertAlign val="subscript"/>
        <sz val="10"/>
        <rFont val="Helvetica"/>
        <family val="2"/>
      </rPr>
      <t>1</t>
    </r>
  </si>
  <si>
    <r>
      <t>R</t>
    </r>
    <r>
      <rPr>
        <vertAlign val="subscript"/>
        <sz val="10"/>
        <rFont val="Helvetica"/>
        <family val="2"/>
      </rPr>
      <t>n</t>
    </r>
  </si>
  <si>
    <t>R</t>
  </si>
  <si>
    <r>
      <t>R</t>
    </r>
    <r>
      <rPr>
        <vertAlign val="subscript"/>
        <sz val="10"/>
        <rFont val="Helvetica"/>
        <family val="2"/>
      </rPr>
      <t>B</t>
    </r>
  </si>
  <si>
    <r>
      <t>R</t>
    </r>
    <r>
      <rPr>
        <vertAlign val="subscript"/>
        <sz val="10"/>
        <rFont val="Helvetica"/>
        <family val="2"/>
      </rPr>
      <t>L</t>
    </r>
  </si>
  <si>
    <r>
      <t>V</t>
    </r>
    <r>
      <rPr>
        <vertAlign val="subscript"/>
        <sz val="10"/>
        <rFont val="Helvetica"/>
        <family val="2"/>
      </rPr>
      <t>ž</t>
    </r>
  </si>
  <si>
    <t>b</t>
  </si>
  <si>
    <t>Kz and qz values</t>
  </si>
  <si>
    <r>
      <t xml:space="preserve"> h</t>
    </r>
    <r>
      <rPr>
        <vertAlign val="subscript"/>
        <sz val="10"/>
        <rFont val="Helvetica"/>
        <family val="2"/>
      </rPr>
      <t>h</t>
    </r>
  </si>
  <si>
    <r>
      <t xml:space="preserve"> h</t>
    </r>
    <r>
      <rPr>
        <vertAlign val="subscript"/>
        <sz val="10"/>
        <rFont val="Helvetica"/>
        <family val="2"/>
      </rPr>
      <t>B</t>
    </r>
  </si>
  <si>
    <r>
      <t xml:space="preserve"> h</t>
    </r>
    <r>
      <rPr>
        <vertAlign val="subscript"/>
        <sz val="10"/>
        <rFont val="Helvetica"/>
        <family val="2"/>
      </rPr>
      <t>L</t>
    </r>
  </si>
  <si>
    <r>
      <t>R</t>
    </r>
    <r>
      <rPr>
        <vertAlign val="subscript"/>
        <sz val="10"/>
        <rFont val="Helvetica"/>
        <family val="2"/>
      </rPr>
      <t>h</t>
    </r>
  </si>
  <si>
    <r>
      <t>G</t>
    </r>
    <r>
      <rPr>
        <i/>
        <vertAlign val="subscript"/>
        <sz val="10"/>
        <rFont val="Times New Roman"/>
        <family val="1"/>
      </rPr>
      <t>f</t>
    </r>
  </si>
  <si>
    <r>
      <t xml:space="preserve">Natural </t>
    </r>
    <r>
      <rPr>
        <i/>
        <sz val="10"/>
        <rFont val="Times New Roman"/>
        <family val="1"/>
      </rPr>
      <t>f</t>
    </r>
  </si>
  <si>
    <t>V (mph)</t>
  </si>
  <si>
    <t>h (ft)</t>
  </si>
  <si>
    <t>L (ft)</t>
  </si>
  <si>
    <t>B (ft)</t>
  </si>
  <si>
    <t>Wind Load Analysis</t>
  </si>
  <si>
    <t>Windward</t>
  </si>
  <si>
    <t>Cp</t>
  </si>
  <si>
    <t>Leeward</t>
  </si>
  <si>
    <t>Ratio</t>
  </si>
  <si>
    <t>E-W</t>
  </si>
  <si>
    <t>Pressure Coefficients</t>
  </si>
  <si>
    <r>
      <t>Internal (GC</t>
    </r>
    <r>
      <rPr>
        <vertAlign val="subscript"/>
        <sz val="10"/>
        <rFont val="Helvetica"/>
        <family val="0"/>
      </rPr>
      <t>pi</t>
    </r>
    <r>
      <rPr>
        <sz val="10"/>
        <rFont val="Helvetica"/>
        <family val="2"/>
      </rPr>
      <t>)</t>
    </r>
  </si>
  <si>
    <t>Enc. Type</t>
  </si>
  <si>
    <t>Open</t>
  </si>
  <si>
    <t>Enclosed</t>
  </si>
  <si>
    <t>N-S</t>
  </si>
  <si>
    <r>
      <t>GC</t>
    </r>
    <r>
      <rPr>
        <vertAlign val="subscript"/>
        <sz val="10"/>
        <rFont val="Arial"/>
        <family val="2"/>
      </rPr>
      <t>ip</t>
    </r>
  </si>
  <si>
    <t>Part. Enc</t>
  </si>
  <si>
    <t>+/-</t>
  </si>
  <si>
    <t>Internal</t>
  </si>
  <si>
    <r>
      <t>K</t>
    </r>
    <r>
      <rPr>
        <vertAlign val="subscript"/>
        <sz val="10"/>
        <rFont val="Helvetica"/>
        <family val="0"/>
      </rPr>
      <t>z</t>
    </r>
    <r>
      <rPr>
        <sz val="10"/>
        <rFont val="Helvetica"/>
        <family val="2"/>
      </rPr>
      <t xml:space="preserve"> and q</t>
    </r>
    <r>
      <rPr>
        <vertAlign val="subscript"/>
        <sz val="10"/>
        <rFont val="Helvetica"/>
        <family val="0"/>
      </rPr>
      <t>z</t>
    </r>
  </si>
  <si>
    <t>Velocity Pressure Envelope</t>
  </si>
  <si>
    <t>Level</t>
  </si>
  <si>
    <t>Shear @18</t>
  </si>
  <si>
    <t>Shear @17</t>
  </si>
  <si>
    <t>Shear @16</t>
  </si>
  <si>
    <t>Shear @15</t>
  </si>
  <si>
    <t>Shear @14</t>
  </si>
  <si>
    <t>Shear @12</t>
  </si>
  <si>
    <t>Shear @11</t>
  </si>
  <si>
    <t>Shear @10</t>
  </si>
  <si>
    <t>Shear @9</t>
  </si>
  <si>
    <t>Shear @8</t>
  </si>
  <si>
    <t>Shear @7</t>
  </si>
  <si>
    <t>Shear @6</t>
  </si>
  <si>
    <t>Shear @5</t>
  </si>
  <si>
    <t>Shear @4</t>
  </si>
  <si>
    <t>Shear @3</t>
  </si>
  <si>
    <t>Shear @2</t>
  </si>
  <si>
    <t>Shear @1</t>
  </si>
  <si>
    <t>Shear @Ground</t>
  </si>
  <si>
    <t>Base Shear</t>
  </si>
  <si>
    <t>Overturning Moment</t>
  </si>
  <si>
    <t>Shear Summary</t>
  </si>
  <si>
    <t>Z (ft)</t>
  </si>
  <si>
    <t>h/floor (ft)</t>
  </si>
  <si>
    <t>Seismic Analysis</t>
  </si>
  <si>
    <r>
      <t>F</t>
    </r>
    <r>
      <rPr>
        <vertAlign val="subscript"/>
        <sz val="10"/>
        <rFont val="Helvetica"/>
        <family val="2"/>
      </rPr>
      <t>a</t>
    </r>
  </si>
  <si>
    <r>
      <t>F</t>
    </r>
    <r>
      <rPr>
        <vertAlign val="subscript"/>
        <sz val="10"/>
        <rFont val="Helvetica"/>
        <family val="2"/>
      </rPr>
      <t>v</t>
    </r>
  </si>
  <si>
    <r>
      <t>S</t>
    </r>
    <r>
      <rPr>
        <vertAlign val="subscript"/>
        <sz val="10"/>
        <rFont val="Helvetica"/>
        <family val="2"/>
      </rPr>
      <t>DS</t>
    </r>
  </si>
  <si>
    <r>
      <t>S</t>
    </r>
    <r>
      <rPr>
        <vertAlign val="subscript"/>
        <sz val="10"/>
        <rFont val="Helvetica"/>
        <family val="2"/>
      </rPr>
      <t>D1</t>
    </r>
  </si>
  <si>
    <t>Seismic Use group</t>
  </si>
  <si>
    <t>Imp. (e)</t>
  </si>
  <si>
    <t>Site Classification</t>
  </si>
  <si>
    <t>SUG</t>
  </si>
  <si>
    <t>I(e)</t>
  </si>
  <si>
    <t>I</t>
  </si>
  <si>
    <t>II</t>
  </si>
  <si>
    <r>
      <t>S</t>
    </r>
    <r>
      <rPr>
        <vertAlign val="subscript"/>
        <sz val="10"/>
        <rFont val="Helvetica"/>
        <family val="2"/>
      </rPr>
      <t xml:space="preserve">s </t>
    </r>
    <r>
      <rPr>
        <sz val="10"/>
        <rFont val="Helvetica"/>
        <family val="2"/>
      </rPr>
      <t>(%g)</t>
    </r>
  </si>
  <si>
    <r>
      <t>S</t>
    </r>
    <r>
      <rPr>
        <vertAlign val="subscript"/>
        <sz val="10"/>
        <rFont val="Helvetica"/>
        <family val="2"/>
      </rPr>
      <t xml:space="preserve">1 </t>
    </r>
    <r>
      <rPr>
        <sz val="10"/>
        <rFont val="Helvetica"/>
        <family val="2"/>
      </rPr>
      <t>(%g)</t>
    </r>
  </si>
  <si>
    <t>Fa</t>
  </si>
  <si>
    <t>A</t>
  </si>
  <si>
    <t>E</t>
  </si>
  <si>
    <t>F</t>
  </si>
  <si>
    <r>
      <t>S</t>
    </r>
    <r>
      <rPr>
        <vertAlign val="subscript"/>
        <sz val="10"/>
        <rFont val="Arial"/>
        <family val="2"/>
      </rPr>
      <t>s</t>
    </r>
  </si>
  <si>
    <t>Fv</t>
  </si>
  <si>
    <r>
      <t>S</t>
    </r>
    <r>
      <rPr>
        <vertAlign val="subscript"/>
        <sz val="10"/>
        <rFont val="Arial"/>
        <family val="2"/>
      </rPr>
      <t>1</t>
    </r>
  </si>
  <si>
    <t>ave. h/floor (ft)</t>
  </si>
  <si>
    <t>Roof Dead</t>
  </si>
  <si>
    <t>Snow</t>
  </si>
  <si>
    <t>Floor Dead</t>
  </si>
  <si>
    <t>Ex. Wall Dead</t>
  </si>
  <si>
    <t>Load Summary (psf)</t>
  </si>
  <si>
    <t>T</t>
  </si>
  <si>
    <t>Response</t>
  </si>
  <si>
    <t># of Stories</t>
  </si>
  <si>
    <r>
      <t>W</t>
    </r>
    <r>
      <rPr>
        <vertAlign val="subscript"/>
        <sz val="10"/>
        <rFont val="Helvetica"/>
        <family val="2"/>
      </rPr>
      <t>total</t>
    </r>
    <r>
      <rPr>
        <sz val="10"/>
        <rFont val="Helvetica"/>
        <family val="2"/>
      </rPr>
      <t xml:space="preserve"> (lbs)</t>
    </r>
  </si>
  <si>
    <r>
      <t>C</t>
    </r>
    <r>
      <rPr>
        <vertAlign val="subscript"/>
        <sz val="10"/>
        <rFont val="Helvetica"/>
        <family val="2"/>
      </rPr>
      <t>vx</t>
    </r>
  </si>
  <si>
    <r>
      <t>w</t>
    </r>
    <r>
      <rPr>
        <vertAlign val="subscript"/>
        <sz val="10"/>
        <rFont val="Helvetica"/>
        <family val="2"/>
      </rPr>
      <t>x</t>
    </r>
  </si>
  <si>
    <r>
      <t>h</t>
    </r>
    <r>
      <rPr>
        <vertAlign val="subscript"/>
        <sz val="10"/>
        <rFont val="Helvetica"/>
        <family val="2"/>
      </rPr>
      <t>x</t>
    </r>
  </si>
  <si>
    <t>Distribution</t>
  </si>
  <si>
    <t>k</t>
  </si>
  <si>
    <r>
      <t>w</t>
    </r>
    <r>
      <rPr>
        <vertAlign val="subscript"/>
        <sz val="10"/>
        <rFont val="Helvetica"/>
        <family val="2"/>
      </rPr>
      <t>x</t>
    </r>
    <r>
      <rPr>
        <sz val="10"/>
        <rFont val="Helvetica"/>
        <family val="2"/>
      </rPr>
      <t>h</t>
    </r>
    <r>
      <rPr>
        <vertAlign val="subscript"/>
        <sz val="10"/>
        <rFont val="Helvetica"/>
        <family val="2"/>
      </rPr>
      <t>x</t>
    </r>
    <r>
      <rPr>
        <vertAlign val="superscript"/>
        <sz val="10"/>
        <rFont val="Helvetica"/>
        <family val="2"/>
      </rPr>
      <t>k</t>
    </r>
  </si>
  <si>
    <t>Σ</t>
  </si>
  <si>
    <t>V (lbs)</t>
  </si>
  <si>
    <r>
      <t>F</t>
    </r>
    <r>
      <rPr>
        <vertAlign val="subscript"/>
        <sz val="10"/>
        <rFont val="Helvetica"/>
        <family val="2"/>
      </rPr>
      <t xml:space="preserve">x </t>
    </r>
    <r>
      <rPr>
        <sz val="10"/>
        <rFont val="Helvetica"/>
        <family val="2"/>
      </rPr>
      <t>(kips)</t>
    </r>
  </si>
  <si>
    <r>
      <t>M</t>
    </r>
    <r>
      <rPr>
        <vertAlign val="subscript"/>
        <sz val="10"/>
        <rFont val="Helvetica"/>
        <family val="2"/>
      </rPr>
      <t xml:space="preserve">x </t>
    </r>
    <r>
      <rPr>
        <sz val="10"/>
        <rFont val="Helvetica"/>
        <family val="2"/>
      </rPr>
      <t>(ft-kips)</t>
    </r>
  </si>
  <si>
    <r>
      <t>C</t>
    </r>
    <r>
      <rPr>
        <vertAlign val="subscript"/>
        <sz val="10"/>
        <rFont val="Helvetica"/>
        <family val="2"/>
      </rPr>
      <t>s</t>
    </r>
  </si>
  <si>
    <r>
      <t>avg. w</t>
    </r>
    <r>
      <rPr>
        <vertAlign val="subscript"/>
        <sz val="10"/>
        <rFont val="Helvetica"/>
        <family val="2"/>
      </rPr>
      <t xml:space="preserve">roof </t>
    </r>
    <r>
      <rPr>
        <sz val="10"/>
        <rFont val="Helvetica"/>
        <family val="2"/>
      </rPr>
      <t>(lbs)</t>
    </r>
  </si>
  <si>
    <r>
      <t>avg. w</t>
    </r>
    <r>
      <rPr>
        <vertAlign val="subscript"/>
        <sz val="10"/>
        <rFont val="Helvetica"/>
        <family val="2"/>
      </rPr>
      <t xml:space="preserve">floors </t>
    </r>
    <r>
      <rPr>
        <sz val="10"/>
        <rFont val="Helvetica"/>
        <family val="2"/>
      </rPr>
      <t>(lbs)</t>
    </r>
  </si>
  <si>
    <t>Shear @ 18</t>
  </si>
  <si>
    <t>Shear @ 17</t>
  </si>
  <si>
    <t>Shear @ 16</t>
  </si>
  <si>
    <t>Shear @ 15</t>
  </si>
  <si>
    <t>Shear @ 14</t>
  </si>
  <si>
    <t>Shear @ 12</t>
  </si>
  <si>
    <t>Shear @ 11</t>
  </si>
  <si>
    <t>Shear @ 10</t>
  </si>
  <si>
    <t>Shear @ 9</t>
  </si>
  <si>
    <t>Shear @ 8</t>
  </si>
  <si>
    <t>Shear @ 7</t>
  </si>
  <si>
    <t>Shear @ 6</t>
  </si>
  <si>
    <t>Shear @ 5</t>
  </si>
  <si>
    <t>Shear @ 4</t>
  </si>
  <si>
    <t>Shear @ 3</t>
  </si>
  <si>
    <t>Shear @ 2</t>
  </si>
  <si>
    <t>Shear @ 1</t>
  </si>
  <si>
    <t>Load Analysis Summary</t>
  </si>
  <si>
    <t>Seismic</t>
  </si>
  <si>
    <t>Total</t>
  </si>
  <si>
    <t>*Shear (kips) **Moment (ft-kips)</t>
  </si>
  <si>
    <t>Wind Distribution</t>
  </si>
  <si>
    <t>Z-real</t>
  </si>
  <si>
    <t>Z-pressure (ft)</t>
  </si>
  <si>
    <t>pressure (psf)</t>
  </si>
  <si>
    <t>h/floor</t>
  </si>
  <si>
    <t>Ground</t>
  </si>
  <si>
    <t>Shear @ Ground</t>
  </si>
  <si>
    <t>M(ft-k)</t>
  </si>
  <si>
    <t>V (k)</t>
  </si>
  <si>
    <t>Sum</t>
  </si>
  <si>
    <r>
      <t>C</t>
    </r>
    <r>
      <rPr>
        <vertAlign val="subscript"/>
        <sz val="10"/>
        <rFont val="Helvetica"/>
        <family val="2"/>
      </rPr>
      <t>p</t>
    </r>
  </si>
  <si>
    <t>M (ft-k)</t>
  </si>
  <si>
    <t>Pressure Distribution &amp; Shear Summary</t>
  </si>
  <si>
    <t>Seismic Summary</t>
  </si>
  <si>
    <t>MWFRS  N-S</t>
  </si>
  <si>
    <t>Wind N-S</t>
  </si>
  <si>
    <t>Wind E-W</t>
  </si>
  <si>
    <t>MWFRS    E-W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</si>
</sst>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,##0.000"/>
    <numFmt numFmtId="168" formatCode="0.00000"/>
    <numFmt numFmtId="169" formatCode="#,##0.0"/>
    <numFmt numFmtId="170" formatCode="&quot;N-S&quot;\ 0"/>
    <numFmt numFmtId="171" formatCode="0\ &quot;d&quot;"/>
    <numFmt numFmtId="172" formatCode="&quot;N-S&quot;\ @"/>
    <numFmt numFmtId="173" formatCode="&quot;E-W&quot;\ @"/>
    <numFmt numFmtId="174" formatCode="&quot;N-S&quot;\ 0.000"/>
    <numFmt numFmtId="175" formatCode="&quot;E-W&quot;\ 0.000"/>
    <numFmt numFmtId="176" formatCode="&quot;N-S|&quot;\ 0.000"/>
    <numFmt numFmtId="177" formatCode="&quot;N-S |&quot;\ 0.000"/>
    <numFmt numFmtId="178" formatCode="&quot;E-W |&quot;\ 0.000"/>
  </numFmts>
  <fonts count="26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Helvetica"/>
      <family val="2"/>
    </font>
    <font>
      <vertAlign val="subscript"/>
      <sz val="10"/>
      <name val="Helvetica"/>
      <family val="2"/>
    </font>
    <font>
      <i/>
      <sz val="10"/>
      <name val="Helvetica"/>
      <family val="2"/>
    </font>
    <font>
      <sz val="10"/>
      <color indexed="8"/>
      <name val="Helvetica"/>
      <family val="2"/>
    </font>
    <font>
      <strike/>
      <sz val="10"/>
      <name val="Helvetica"/>
      <family val="2"/>
    </font>
    <font>
      <strike/>
      <sz val="10"/>
      <name val="Symbol"/>
      <family val="1"/>
    </font>
    <font>
      <u val="double"/>
      <sz val="10"/>
      <name val="Helvetica"/>
      <family val="2"/>
    </font>
    <font>
      <u val="double"/>
      <sz val="10"/>
      <name val="Arial"/>
      <family val="0"/>
    </font>
    <font>
      <i/>
      <vertAlign val="subscript"/>
      <sz val="10"/>
      <name val="Times New Roman"/>
      <family val="1"/>
    </font>
    <font>
      <b/>
      <i/>
      <u val="single"/>
      <sz val="14"/>
      <name val="Helvetica"/>
      <family val="2"/>
    </font>
    <font>
      <sz val="10"/>
      <color indexed="18"/>
      <name val="Helvetica"/>
      <family val="2"/>
    </font>
    <font>
      <sz val="10"/>
      <color indexed="18"/>
      <name val="Times New Roman"/>
      <family val="1"/>
    </font>
    <font>
      <sz val="14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name val="Helvetica"/>
      <family val="2"/>
    </font>
    <font>
      <b/>
      <i/>
      <u val="single"/>
      <sz val="14"/>
      <name val="Arial"/>
      <family val="2"/>
    </font>
    <font>
      <vertAlign val="superscript"/>
      <sz val="10"/>
      <name val="Helvetica"/>
      <family val="2"/>
    </font>
    <font>
      <b/>
      <sz val="10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4" xfId="0" applyNumberForma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11" xfId="0" applyFont="1" applyFill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8" xfId="0" applyFont="1" applyBorder="1" applyAlignment="1" quotePrefix="1">
      <alignment/>
    </xf>
    <xf numFmtId="2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2" borderId="0" xfId="0" applyFill="1" applyAlignment="1">
      <alignment/>
    </xf>
    <xf numFmtId="0" fontId="0" fillId="2" borderId="4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6" xfId="0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169" fontId="6" fillId="0" borderId="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168" fontId="6" fillId="0" borderId="41" xfId="0" applyNumberFormat="1" applyFont="1" applyBorder="1" applyAlignment="1">
      <alignment horizontal="center"/>
    </xf>
    <xf numFmtId="169" fontId="6" fillId="0" borderId="41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9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168" fontId="6" fillId="0" borderId="40" xfId="0" applyNumberFormat="1" applyFont="1" applyBorder="1" applyAlignment="1">
      <alignment horizontal="center"/>
    </xf>
    <xf numFmtId="169" fontId="6" fillId="0" borderId="40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6" fillId="0" borderId="44" xfId="0" applyNumberFormat="1" applyFont="1" applyBorder="1" applyAlignment="1">
      <alignment horizontal="center"/>
    </xf>
    <xf numFmtId="4" fontId="6" fillId="0" borderId="45" xfId="0" applyNumberFormat="1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169" fontId="6" fillId="0" borderId="48" xfId="0" applyNumberFormat="1" applyFont="1" applyFill="1" applyBorder="1" applyAlignment="1">
      <alignment horizontal="center"/>
    </xf>
    <xf numFmtId="169" fontId="6" fillId="0" borderId="48" xfId="0" applyNumberFormat="1" applyFont="1" applyBorder="1" applyAlignment="1">
      <alignment horizontal="center"/>
    </xf>
    <xf numFmtId="169" fontId="6" fillId="0" borderId="49" xfId="0" applyNumberFormat="1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center"/>
    </xf>
    <xf numFmtId="2" fontId="16" fillId="0" borderId="48" xfId="0" applyNumberFormat="1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6" fillId="0" borderId="43" xfId="0" applyFont="1" applyBorder="1" applyAlignment="1">
      <alignment horizontal="left"/>
    </xf>
    <xf numFmtId="2" fontId="6" fillId="0" borderId="51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65" fontId="6" fillId="0" borderId="48" xfId="0" applyNumberFormat="1" applyFont="1" applyBorder="1" applyAlignment="1">
      <alignment horizontal="center"/>
    </xf>
    <xf numFmtId="0" fontId="16" fillId="0" borderId="47" xfId="0" applyFont="1" applyBorder="1" applyAlignment="1">
      <alignment/>
    </xf>
    <xf numFmtId="2" fontId="6" fillId="0" borderId="48" xfId="0" applyNumberFormat="1" applyFont="1" applyBorder="1" applyAlignment="1">
      <alignment horizontal="center"/>
    </xf>
    <xf numFmtId="2" fontId="6" fillId="0" borderId="48" xfId="0" applyNumberFormat="1" applyFont="1" applyFill="1" applyBorder="1" applyAlignment="1">
      <alignment horizontal="center"/>
    </xf>
    <xf numFmtId="164" fontId="6" fillId="0" borderId="49" xfId="0" applyNumberFormat="1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2" fontId="16" fillId="0" borderId="53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4" fillId="2" borderId="31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0" borderId="59" xfId="0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34" xfId="0" applyBorder="1" applyAlignment="1">
      <alignment/>
    </xf>
    <xf numFmtId="0" fontId="0" fillId="2" borderId="23" xfId="0" applyFill="1" applyBorder="1" applyAlignment="1">
      <alignment/>
    </xf>
    <xf numFmtId="0" fontId="0" fillId="2" borderId="59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2" borderId="24" xfId="0" applyFill="1" applyBorder="1" applyAlignment="1">
      <alignment horizontal="center"/>
    </xf>
    <xf numFmtId="2" fontId="0" fillId="0" borderId="15" xfId="0" applyNumberFormat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61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1" fillId="2" borderId="61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3" fillId="2" borderId="61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2" fontId="0" fillId="2" borderId="40" xfId="0" applyNumberFormat="1" applyFill="1" applyBorder="1" applyAlignment="1">
      <alignment horizontal="center"/>
    </xf>
    <xf numFmtId="165" fontId="6" fillId="0" borderId="13" xfId="0" applyNumberFormat="1" applyFont="1" applyBorder="1" applyAlignment="1">
      <alignment/>
    </xf>
    <xf numFmtId="165" fontId="6" fillId="0" borderId="4" xfId="0" applyNumberFormat="1" applyFont="1" applyFill="1" applyBorder="1" applyAlignment="1">
      <alignment horizontal="center"/>
    </xf>
    <xf numFmtId="165" fontId="6" fillId="0" borderId="17" xfId="0" applyNumberFormat="1" applyFont="1" applyBorder="1" applyAlignment="1">
      <alignment/>
    </xf>
    <xf numFmtId="0" fontId="0" fillId="2" borderId="40" xfId="0" applyFill="1" applyBorder="1" applyAlignment="1">
      <alignment/>
    </xf>
    <xf numFmtId="4" fontId="6" fillId="2" borderId="7" xfId="0" applyNumberFormat="1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0" xfId="0" applyBorder="1" applyAlignment="1">
      <alignment/>
    </xf>
    <xf numFmtId="4" fontId="0" fillId="0" borderId="62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2" borderId="33" xfId="0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2" fontId="0" fillId="2" borderId="63" xfId="0" applyNumberFormat="1" applyFill="1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46" xfId="0" applyNumberFormat="1" applyBorder="1" applyAlignment="1">
      <alignment horizontal="center"/>
    </xf>
    <xf numFmtId="4" fontId="0" fillId="0" borderId="50" xfId="0" applyNumberFormat="1" applyBorder="1" applyAlignment="1">
      <alignment/>
    </xf>
    <xf numFmtId="0" fontId="16" fillId="0" borderId="64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2" borderId="60" xfId="0" applyFont="1" applyFill="1" applyBorder="1" applyAlignment="1">
      <alignment/>
    </xf>
    <xf numFmtId="0" fontId="6" fillId="2" borderId="61" xfId="0" applyFont="1" applyFill="1" applyBorder="1" applyAlignment="1">
      <alignment/>
    </xf>
    <xf numFmtId="4" fontId="6" fillId="0" borderId="62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4" fontId="6" fillId="0" borderId="6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3" borderId="60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15" fillId="3" borderId="60" xfId="0" applyFont="1" applyFill="1" applyBorder="1" applyAlignment="1">
      <alignment horizontal="left"/>
    </xf>
    <xf numFmtId="0" fontId="15" fillId="3" borderId="61" xfId="0" applyFont="1" applyFill="1" applyBorder="1" applyAlignment="1">
      <alignment horizontal="left"/>
    </xf>
    <xf numFmtId="0" fontId="15" fillId="3" borderId="5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1" fillId="3" borderId="60" xfId="0" applyFont="1" applyFill="1" applyBorder="1" applyAlignment="1">
      <alignment horizontal="center"/>
    </xf>
    <xf numFmtId="0" fontId="21" fillId="3" borderId="61" xfId="0" applyFont="1" applyFill="1" applyBorder="1" applyAlignment="1">
      <alignment horizontal="center"/>
    </xf>
    <xf numFmtId="0" fontId="21" fillId="3" borderId="5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2" fillId="3" borderId="60" xfId="0" applyFont="1" applyFill="1" applyBorder="1" applyAlignment="1">
      <alignment horizontal="left"/>
    </xf>
    <xf numFmtId="0" fontId="22" fillId="3" borderId="61" xfId="0" applyFont="1" applyFill="1" applyBorder="1" applyAlignment="1">
      <alignment horizontal="left"/>
    </xf>
    <xf numFmtId="0" fontId="22" fillId="3" borderId="50" xfId="0" applyFont="1" applyFill="1" applyBorder="1" applyAlignment="1">
      <alignment horizontal="left"/>
    </xf>
    <xf numFmtId="0" fontId="25" fillId="2" borderId="60" xfId="0" applyFont="1" applyFill="1" applyBorder="1" applyAlignment="1">
      <alignment horizontal="center"/>
    </xf>
    <xf numFmtId="0" fontId="25" fillId="2" borderId="61" xfId="0" applyFont="1" applyFill="1" applyBorder="1" applyAlignment="1">
      <alignment horizontal="center"/>
    </xf>
    <xf numFmtId="0" fontId="25" fillId="2" borderId="50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0" xfId="0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165" fontId="6" fillId="0" borderId="34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0" fontId="6" fillId="0" borderId="0" xfId="0" applyNumberFormat="1" applyFont="1" applyAlignment="1">
      <alignment/>
    </xf>
    <xf numFmtId="172" fontId="6" fillId="2" borderId="60" xfId="0" applyNumberFormat="1" applyFont="1" applyFill="1" applyBorder="1" applyAlignment="1">
      <alignment horizontal="center"/>
    </xf>
    <xf numFmtId="172" fontId="6" fillId="2" borderId="50" xfId="0" applyNumberFormat="1" applyFont="1" applyFill="1" applyBorder="1" applyAlignment="1">
      <alignment horizontal="center"/>
    </xf>
    <xf numFmtId="173" fontId="6" fillId="2" borderId="61" xfId="0" applyNumberFormat="1" applyFont="1" applyFill="1" applyBorder="1" applyAlignment="1">
      <alignment horizontal="center"/>
    </xf>
    <xf numFmtId="173" fontId="6" fillId="2" borderId="50" xfId="0" applyNumberFormat="1" applyFont="1" applyFill="1" applyBorder="1" applyAlignment="1">
      <alignment horizontal="center"/>
    </xf>
    <xf numFmtId="4" fontId="6" fillId="0" borderId="65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4" fontId="6" fillId="0" borderId="66" xfId="0" applyNumberFormat="1" applyFont="1" applyBorder="1" applyAlignment="1">
      <alignment horizontal="center"/>
    </xf>
    <xf numFmtId="177" fontId="6" fillId="0" borderId="59" xfId="0" applyNumberFormat="1" applyFont="1" applyBorder="1" applyAlignment="1">
      <alignment horizontal="center"/>
    </xf>
    <xf numFmtId="178" fontId="6" fillId="0" borderId="27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5"/>
  <sheetViews>
    <sheetView tabSelected="1" zoomScale="115" zoomScaleNormal="115" zoomScaleSheetLayoutView="145" workbookViewId="0" topLeftCell="A1">
      <selection activeCell="M6" sqref="M6"/>
    </sheetView>
  </sheetViews>
  <sheetFormatPr defaultColWidth="9.140625" defaultRowHeight="12.75"/>
  <cols>
    <col min="1" max="1" width="2.8515625" style="2" customWidth="1"/>
    <col min="2" max="2" width="12.421875" style="2" bestFit="1" customWidth="1"/>
    <col min="3" max="3" width="8.7109375" style="2" bestFit="1" customWidth="1"/>
    <col min="4" max="4" width="3.140625" style="2" customWidth="1"/>
    <col min="5" max="5" width="11.421875" style="2" bestFit="1" customWidth="1"/>
    <col min="6" max="6" width="9.140625" style="2" customWidth="1"/>
    <col min="7" max="7" width="4.7109375" style="2" bestFit="1" customWidth="1"/>
    <col min="8" max="8" width="10.7109375" style="2" bestFit="1" customWidth="1"/>
    <col min="9" max="9" width="9.140625" style="2" customWidth="1"/>
    <col min="10" max="10" width="4.7109375" style="2" customWidth="1"/>
    <col min="11" max="13" width="9.140625" style="2" customWidth="1"/>
    <col min="14" max="15" width="2.7109375" style="2" customWidth="1"/>
    <col min="16" max="16" width="12.00390625" style="2" bestFit="1" customWidth="1"/>
    <col min="17" max="18" width="9.140625" style="2" customWidth="1"/>
    <col min="19" max="19" width="8.57421875" style="2" bestFit="1" customWidth="1"/>
    <col min="20" max="20" width="10.140625" style="2" bestFit="1" customWidth="1"/>
    <col min="21" max="21" width="9.28125" style="2" customWidth="1"/>
    <col min="22" max="22" width="9.8515625" style="2" customWidth="1"/>
    <col min="23" max="23" width="8.140625" style="2" customWidth="1"/>
    <col min="24" max="24" width="18.28125" style="2" bestFit="1" customWidth="1"/>
    <col min="25" max="26" width="10.140625" style="2" bestFit="1" customWidth="1"/>
    <col min="27" max="27" width="2.57421875" style="2" customWidth="1"/>
    <col min="28" max="16384" width="9.140625" style="2" customWidth="1"/>
  </cols>
  <sheetData>
    <row r="1" ht="13.5" thickBot="1"/>
    <row r="2" spans="2:26" ht="19.5" thickBot="1">
      <c r="B2" s="257" t="s">
        <v>62</v>
      </c>
      <c r="C2" s="258"/>
      <c r="D2" s="258"/>
      <c r="E2" s="259"/>
      <c r="F2" s="16"/>
      <c r="G2" s="16"/>
      <c r="P2" s="262" t="s">
        <v>79</v>
      </c>
      <c r="Q2" s="263"/>
      <c r="R2" s="263"/>
      <c r="S2" s="263"/>
      <c r="T2" s="264"/>
      <c r="U2" s="71"/>
      <c r="V2" s="71"/>
      <c r="X2" s="262" t="s">
        <v>101</v>
      </c>
      <c r="Y2" s="263"/>
      <c r="Z2" s="264"/>
    </row>
    <row r="3" ht="5.25" customHeight="1" thickBot="1"/>
    <row r="4" spans="2:26" ht="15" customHeight="1" thickBot="1">
      <c r="B4" s="254" t="s">
        <v>0</v>
      </c>
      <c r="C4" s="255"/>
      <c r="E4" s="254" t="s">
        <v>21</v>
      </c>
      <c r="F4" s="255"/>
      <c r="K4" s="254" t="s">
        <v>78</v>
      </c>
      <c r="L4" s="256"/>
      <c r="M4" s="255"/>
      <c r="P4" s="68"/>
      <c r="Q4" s="267" t="s">
        <v>63</v>
      </c>
      <c r="R4" s="268"/>
      <c r="S4" s="267" t="s">
        <v>65</v>
      </c>
      <c r="T4" s="269"/>
      <c r="U4" s="260" t="s">
        <v>183</v>
      </c>
      <c r="V4" s="260" t="s">
        <v>186</v>
      </c>
      <c r="X4" s="54"/>
      <c r="Y4" s="75" t="s">
        <v>73</v>
      </c>
      <c r="Z4" s="75" t="s">
        <v>67</v>
      </c>
    </row>
    <row r="5" spans="2:26" ht="15" thickBot="1">
      <c r="B5" s="72" t="s">
        <v>61</v>
      </c>
      <c r="C5" s="128">
        <v>117</v>
      </c>
      <c r="E5" s="72" t="s">
        <v>32</v>
      </c>
      <c r="F5" s="146" t="s">
        <v>24</v>
      </c>
      <c r="H5" s="48" t="s">
        <v>36</v>
      </c>
      <c r="K5" s="44" t="s">
        <v>2</v>
      </c>
      <c r="L5" s="45" t="s">
        <v>15</v>
      </c>
      <c r="M5" s="46" t="s">
        <v>16</v>
      </c>
      <c r="P5" s="44" t="s">
        <v>2</v>
      </c>
      <c r="Q5" s="45" t="s">
        <v>73</v>
      </c>
      <c r="R5" s="46" t="s">
        <v>67</v>
      </c>
      <c r="S5" s="69" t="s">
        <v>73</v>
      </c>
      <c r="T5" s="70" t="s">
        <v>67</v>
      </c>
      <c r="U5" s="261"/>
      <c r="V5" s="261"/>
      <c r="X5" s="171" t="s">
        <v>81</v>
      </c>
      <c r="Y5" s="252">
        <f>S28</f>
        <v>52.66218347800149</v>
      </c>
      <c r="Z5" s="252">
        <f>U28</f>
        <v>44.677396541563155</v>
      </c>
    </row>
    <row r="6" spans="2:26" ht="14.25">
      <c r="B6" s="73" t="s">
        <v>60</v>
      </c>
      <c r="C6" s="129">
        <v>311</v>
      </c>
      <c r="E6" s="73" t="s">
        <v>23</v>
      </c>
      <c r="F6" s="143">
        <f>VLOOKUP(F$5,'(formula_data)'!B$9:D$12,2)</f>
        <v>0.016</v>
      </c>
      <c r="H6" s="72" t="s">
        <v>43</v>
      </c>
      <c r="I6" s="133">
        <f>(SQRT(2*(LN(3600*F9))))+(0.577/(SQRT(2*(LN(3600*F9)))))</f>
        <v>4.053411190253417</v>
      </c>
      <c r="K6" s="49" t="s">
        <v>3</v>
      </c>
      <c r="L6" s="50">
        <f>VLOOKUP(C$13,'(formula_data)'!B$16:X$18,2)</f>
        <v>0.85</v>
      </c>
      <c r="M6" s="66">
        <f>0.00256*C8*C9*C12*(C10^2)*L6</f>
        <v>17.229023999999995</v>
      </c>
      <c r="P6" s="49" t="s">
        <v>3</v>
      </c>
      <c r="Q6" s="50">
        <f>(M6*I$18*F$21)+(M$22*I$18*C$28)</f>
        <v>16.530456555289927</v>
      </c>
      <c r="R6" s="83">
        <f>(M6*F$18*F$21)+(M$22*F$18*C$28)</f>
        <v>16.292478257353984</v>
      </c>
      <c r="S6" s="88">
        <f>(M$22*I$18*I$22)-(M$22*I$18*+C28)</f>
        <v>-17.208468377865366</v>
      </c>
      <c r="T6" s="66">
        <f>(M$22*F$18*I$23)-(M$22*F$18*+C28)</f>
        <v>-11.151530210021367</v>
      </c>
      <c r="U6" s="84">
        <f>Q6+(-S6)</f>
        <v>33.73892493315529</v>
      </c>
      <c r="V6" s="84">
        <f>R6+(-T6)</f>
        <v>27.44400846737535</v>
      </c>
      <c r="X6" s="172" t="s">
        <v>82</v>
      </c>
      <c r="Y6" s="180">
        <f>S29</f>
        <v>104.36042786196428</v>
      </c>
      <c r="Z6" s="180">
        <f>U29</f>
        <v>88.40473119714571</v>
      </c>
    </row>
    <row r="7" spans="2:26" ht="14.25">
      <c r="B7" s="73" t="s">
        <v>59</v>
      </c>
      <c r="C7" s="135">
        <f>2216/12</f>
        <v>184.66666666666666</v>
      </c>
      <c r="E7" s="73" t="s">
        <v>22</v>
      </c>
      <c r="F7" s="143">
        <f>VLOOKUP(F$5,'(formula_data)'!B$9:D$12,3)</f>
        <v>0.9</v>
      </c>
      <c r="H7" s="73" t="s">
        <v>45</v>
      </c>
      <c r="I7" s="145">
        <f>(7.47*I8)/((1+10.3*I8)^(5/3))</f>
        <v>0.03711302658375247</v>
      </c>
      <c r="K7" s="51">
        <v>20</v>
      </c>
      <c r="L7" s="9">
        <f>VLOOKUP(C$13,'(formula_data)'!B$16:X$18,3)</f>
        <v>0.9</v>
      </c>
      <c r="M7" s="81">
        <f aca="true" t="shared" si="0" ref="M7:M21">0.00256*L7*C$8*C$9*(C$10^2)*C$12</f>
        <v>18.242496</v>
      </c>
      <c r="P7" s="51">
        <v>20</v>
      </c>
      <c r="Q7" s="9">
        <f>(M7*I$18*F$21)+(M$22*I$18*C$28)</f>
        <v>17.234884422900777</v>
      </c>
      <c r="R7" s="77">
        <f>(M7*F$18*F$21)+(M$22*F$18*C$28)</f>
        <v>16.986764932288636</v>
      </c>
      <c r="S7" s="89">
        <f>S6</f>
        <v>-17.208468377865366</v>
      </c>
      <c r="T7" s="56">
        <f>T6</f>
        <v>-11.151530210021367</v>
      </c>
      <c r="U7" s="85">
        <f>Q7+(-S7)</f>
        <v>34.44335280076614</v>
      </c>
      <c r="V7" s="85">
        <f>R7+(-T7)</f>
        <v>28.138295142310003</v>
      </c>
      <c r="X7" s="172" t="s">
        <v>83</v>
      </c>
      <c r="Y7" s="180">
        <f>S30</f>
        <v>128.16864635580788</v>
      </c>
      <c r="Z7" s="180">
        <f>U30</f>
        <v>108.5579865448385</v>
      </c>
    </row>
    <row r="8" spans="2:26" ht="14.25">
      <c r="B8" s="73" t="s">
        <v>11</v>
      </c>
      <c r="C8" s="129">
        <v>1</v>
      </c>
      <c r="E8" s="163" t="s">
        <v>33</v>
      </c>
      <c r="F8" s="143">
        <f>F6*C7^F7</f>
        <v>1.7533541340344783</v>
      </c>
      <c r="H8" s="73" t="s">
        <v>44</v>
      </c>
      <c r="I8" s="147">
        <f>F9*F16/I15</f>
        <v>8.141945085218083</v>
      </c>
      <c r="K8" s="51">
        <v>25</v>
      </c>
      <c r="L8" s="9">
        <f>VLOOKUP(C$13,'(formula_data)'!B$16:X$18,4)</f>
        <v>0.94</v>
      </c>
      <c r="M8" s="81">
        <f t="shared" si="0"/>
        <v>19.053273599999997</v>
      </c>
      <c r="P8" s="51">
        <v>25</v>
      </c>
      <c r="Q8" s="9">
        <f aca="true" t="shared" si="1" ref="Q8:Q20">(M8*I$18*F$21)+(M$22*I$18*C$28)</f>
        <v>17.798426716989454</v>
      </c>
      <c r="R8" s="77">
        <f aca="true" t="shared" si="2" ref="R8:R20">(M8*F$18*F$21)+(M$22*F$18*C$28)</f>
        <v>17.542194272236358</v>
      </c>
      <c r="S8" s="89">
        <f aca="true" t="shared" si="3" ref="S8:S20">S7</f>
        <v>-17.208468377865366</v>
      </c>
      <c r="T8" s="56">
        <f aca="true" t="shared" si="4" ref="T8:T20">T7</f>
        <v>-11.151530210021367</v>
      </c>
      <c r="U8" s="85">
        <f aca="true" t="shared" si="5" ref="U8:U20">Q8+(-S8)</f>
        <v>35.00689509485482</v>
      </c>
      <c r="V8" s="85">
        <f aca="true" t="shared" si="6" ref="V8:V20">R8+(-T8)</f>
        <v>28.693724482257725</v>
      </c>
      <c r="X8" s="172" t="s">
        <v>84</v>
      </c>
      <c r="Y8" s="180">
        <f>S31</f>
        <v>124.62341346545809</v>
      </c>
      <c r="Z8" s="180">
        <f aca="true" t="shared" si="7" ref="Z8:Z22">U31</f>
        <v>105.36490222752784</v>
      </c>
    </row>
    <row r="9" spans="2:26" ht="14.25">
      <c r="B9" s="73" t="s">
        <v>12</v>
      </c>
      <c r="C9" s="129">
        <v>0.85</v>
      </c>
      <c r="E9" s="73" t="s">
        <v>57</v>
      </c>
      <c r="F9" s="143">
        <f>1/F8</f>
        <v>0.5703354391385806</v>
      </c>
      <c r="H9" s="156" t="s">
        <v>52</v>
      </c>
      <c r="I9" s="147">
        <f>4.6*F9*C7/I15</f>
        <v>10.85673761945095</v>
      </c>
      <c r="K9" s="51">
        <v>30</v>
      </c>
      <c r="L9" s="9">
        <f>VLOOKUP(C$13,'(formula_data)'!B$16:X$18,5)</f>
        <v>0.98</v>
      </c>
      <c r="M9" s="81">
        <f t="shared" si="0"/>
        <v>19.8640512</v>
      </c>
      <c r="P9" s="51">
        <v>30</v>
      </c>
      <c r="Q9" s="9">
        <f t="shared" si="1"/>
        <v>18.36196901107813</v>
      </c>
      <c r="R9" s="77">
        <f t="shared" si="2"/>
        <v>18.09762361218408</v>
      </c>
      <c r="S9" s="89">
        <f t="shared" si="3"/>
        <v>-17.208468377865366</v>
      </c>
      <c r="T9" s="56">
        <f t="shared" si="4"/>
        <v>-11.151530210021367</v>
      </c>
      <c r="U9" s="85">
        <f t="shared" si="5"/>
        <v>35.570437388943496</v>
      </c>
      <c r="V9" s="85">
        <f t="shared" si="6"/>
        <v>29.249153822205447</v>
      </c>
      <c r="X9" s="172" t="s">
        <v>85</v>
      </c>
      <c r="Y9" s="180">
        <f>S32</f>
        <v>124.30210043411185</v>
      </c>
      <c r="Z9" s="180">
        <f t="shared" si="7"/>
        <v>105.04821493220098</v>
      </c>
    </row>
    <row r="10" spans="2:26" ht="15" thickBot="1">
      <c r="B10" s="73" t="s">
        <v>58</v>
      </c>
      <c r="C10" s="129">
        <v>90</v>
      </c>
      <c r="E10" s="74" t="s">
        <v>34</v>
      </c>
      <c r="F10" s="144" t="str">
        <f>IF(F9&gt;1,"Rigid","Flex")</f>
        <v>Flex</v>
      </c>
      <c r="H10" s="156" t="s">
        <v>53</v>
      </c>
      <c r="I10" s="145">
        <f>4.6*F9/I15</f>
        <v>0.05879099793926507</v>
      </c>
      <c r="K10" s="51">
        <v>40</v>
      </c>
      <c r="L10" s="9">
        <f>VLOOKUP(C$13,'(formula_data)'!B$16:X$18,6)</f>
        <v>1.04</v>
      </c>
      <c r="M10" s="81">
        <f t="shared" si="0"/>
        <v>21.080217599999997</v>
      </c>
      <c r="P10" s="51">
        <v>40</v>
      </c>
      <c r="Q10" s="9">
        <f t="shared" si="1"/>
        <v>19.207282452211146</v>
      </c>
      <c r="R10" s="77">
        <f t="shared" si="2"/>
        <v>18.93076762210566</v>
      </c>
      <c r="S10" s="89">
        <f t="shared" si="3"/>
        <v>-17.208468377865366</v>
      </c>
      <c r="T10" s="56">
        <f t="shared" si="4"/>
        <v>-11.151530210021367</v>
      </c>
      <c r="U10" s="85">
        <f t="shared" si="5"/>
        <v>36.41575083007651</v>
      </c>
      <c r="V10" s="85">
        <f t="shared" si="6"/>
        <v>30.082297832127026</v>
      </c>
      <c r="X10" s="172" t="s">
        <v>86</v>
      </c>
      <c r="Y10" s="180">
        <f>S33</f>
        <v>123.36006904675591</v>
      </c>
      <c r="Z10" s="180">
        <f t="shared" si="7"/>
        <v>104.1197453618109</v>
      </c>
    </row>
    <row r="11" spans="2:26" ht="15" thickBot="1">
      <c r="B11" s="73" t="s">
        <v>17</v>
      </c>
      <c r="C11" s="136" t="s">
        <v>18</v>
      </c>
      <c r="H11" s="156" t="s">
        <v>54</v>
      </c>
      <c r="I11" s="147">
        <f>15.4*F9*C6/I15</f>
        <v>61.21165337615569</v>
      </c>
      <c r="K11" s="51">
        <v>50</v>
      </c>
      <c r="L11" s="9">
        <f>VLOOKUP(C$13,'(formula_data)'!B$16:X$18,7)</f>
        <v>1.09</v>
      </c>
      <c r="M11" s="81">
        <f t="shared" si="0"/>
        <v>22.093689600000005</v>
      </c>
      <c r="P11" s="51">
        <v>50</v>
      </c>
      <c r="Q11" s="9">
        <f t="shared" si="1"/>
        <v>19.911710319822</v>
      </c>
      <c r="R11" s="77">
        <f t="shared" si="2"/>
        <v>19.625054297040315</v>
      </c>
      <c r="S11" s="89">
        <f t="shared" si="3"/>
        <v>-17.208468377865366</v>
      </c>
      <c r="T11" s="56">
        <f t="shared" si="4"/>
        <v>-11.151530210021367</v>
      </c>
      <c r="U11" s="85">
        <f t="shared" si="5"/>
        <v>37.120178697687365</v>
      </c>
      <c r="V11" s="85">
        <f t="shared" si="6"/>
        <v>30.77658450706168</v>
      </c>
      <c r="X11" s="172" t="s">
        <v>87</v>
      </c>
      <c r="Y11" s="180">
        <f>S34</f>
        <v>123.03145344651543</v>
      </c>
      <c r="Z11" s="180">
        <f t="shared" si="7"/>
        <v>103.79586062795389</v>
      </c>
    </row>
    <row r="12" spans="2:26" ht="15" thickBot="1">
      <c r="B12" s="155" t="s">
        <v>20</v>
      </c>
      <c r="C12" s="129">
        <v>1.15</v>
      </c>
      <c r="E12" s="48" t="s">
        <v>35</v>
      </c>
      <c r="H12" s="73" t="s">
        <v>55</v>
      </c>
      <c r="I12" s="145">
        <f>(1/I9)-(1/(2*I9^2))*(1-EXP(-2*I9))</f>
        <v>0.08786669466639292</v>
      </c>
      <c r="K12" s="51">
        <v>60</v>
      </c>
      <c r="L12" s="9">
        <f>VLOOKUP(C$13,'(formula_data)'!B$16:X$18,8)</f>
        <v>1.13</v>
      </c>
      <c r="M12" s="81">
        <f t="shared" si="0"/>
        <v>22.9044672</v>
      </c>
      <c r="P12" s="51">
        <v>60</v>
      </c>
      <c r="Q12" s="9">
        <f t="shared" si="1"/>
        <v>20.47525261391067</v>
      </c>
      <c r="R12" s="77">
        <f t="shared" si="2"/>
        <v>20.18048363698803</v>
      </c>
      <c r="S12" s="89">
        <f t="shared" si="3"/>
        <v>-17.208468377865366</v>
      </c>
      <c r="T12" s="56">
        <f t="shared" si="4"/>
        <v>-11.151530210021367</v>
      </c>
      <c r="U12" s="85">
        <f t="shared" si="5"/>
        <v>37.683720991776035</v>
      </c>
      <c r="V12" s="85">
        <f t="shared" si="6"/>
        <v>31.332013847009396</v>
      </c>
      <c r="X12" s="172" t="s">
        <v>88</v>
      </c>
      <c r="Y12" s="180">
        <f>S35</f>
        <v>121.60745251214011</v>
      </c>
      <c r="Z12" s="180">
        <f t="shared" si="7"/>
        <v>102.39236011457349</v>
      </c>
    </row>
    <row r="13" spans="2:26" ht="14.25">
      <c r="B13" s="73" t="s">
        <v>4</v>
      </c>
      <c r="C13" s="129" t="s">
        <v>5</v>
      </c>
      <c r="E13" s="72" t="s">
        <v>37</v>
      </c>
      <c r="F13" s="142">
        <v>3.4</v>
      </c>
      <c r="H13" s="73" t="s">
        <v>47</v>
      </c>
      <c r="I13" s="145">
        <f>(1/I10)-(1/(2*I10^2))*(1-EXP(-2*I10))</f>
        <v>0.9619315568076168</v>
      </c>
      <c r="K13" s="51">
        <v>70</v>
      </c>
      <c r="L13" s="9">
        <f>VLOOKUP(C$13,'(formula_data)'!B$16:X$18,9)</f>
        <v>1.17</v>
      </c>
      <c r="M13" s="81">
        <f t="shared" si="0"/>
        <v>23.715244799999994</v>
      </c>
      <c r="P13" s="51">
        <v>70</v>
      </c>
      <c r="Q13" s="9">
        <f t="shared" si="1"/>
        <v>21.038794907999343</v>
      </c>
      <c r="R13" s="77">
        <f t="shared" si="2"/>
        <v>20.73591297693575</v>
      </c>
      <c r="S13" s="89">
        <f t="shared" si="3"/>
        <v>-17.208468377865366</v>
      </c>
      <c r="T13" s="56">
        <f t="shared" si="4"/>
        <v>-11.151530210021367</v>
      </c>
      <c r="U13" s="85">
        <f t="shared" si="5"/>
        <v>38.247263285864705</v>
      </c>
      <c r="V13" s="85">
        <f t="shared" si="6"/>
        <v>31.887443186957118</v>
      </c>
      <c r="X13" s="172" t="s">
        <v>89</v>
      </c>
      <c r="Y13" s="180">
        <f>S36</f>
        <v>120.91370846718803</v>
      </c>
      <c r="Z13" s="180">
        <f t="shared" si="7"/>
        <v>101.70860345420867</v>
      </c>
    </row>
    <row r="14" spans="2:26" ht="14.25">
      <c r="B14" s="156" t="s">
        <v>6</v>
      </c>
      <c r="C14" s="143">
        <f>VLOOKUP(C$13,'(formula_data)'!B$3:H$5,2)</f>
        <v>9.5</v>
      </c>
      <c r="E14" s="162" t="s">
        <v>38</v>
      </c>
      <c r="F14" s="143">
        <f>MAX(0.6*C7,C16)</f>
        <v>110.8</v>
      </c>
      <c r="H14" s="73" t="s">
        <v>48</v>
      </c>
      <c r="I14" s="145">
        <f>(1/I11)-(1/(2*I11^2))*(1-EXP(-2*I11))</f>
        <v>0.016203313683483274</v>
      </c>
      <c r="K14" s="51">
        <v>80</v>
      </c>
      <c r="L14" s="9">
        <f>VLOOKUP(C$13,'(formula_data)'!B$16:X$18,10)</f>
        <v>1.21</v>
      </c>
      <c r="M14" s="81">
        <f t="shared" si="0"/>
        <v>24.5260224</v>
      </c>
      <c r="P14" s="51">
        <v>80</v>
      </c>
      <c r="Q14" s="9">
        <f t="shared" si="1"/>
        <v>21.602337202088027</v>
      </c>
      <c r="R14" s="77">
        <f t="shared" si="2"/>
        <v>21.291342316883476</v>
      </c>
      <c r="S14" s="89">
        <f t="shared" si="3"/>
        <v>-17.208468377865366</v>
      </c>
      <c r="T14" s="56">
        <f t="shared" si="4"/>
        <v>-11.151530210021367</v>
      </c>
      <c r="U14" s="85">
        <f t="shared" si="5"/>
        <v>38.810805579953396</v>
      </c>
      <c r="V14" s="85">
        <f t="shared" si="6"/>
        <v>32.44287252690484</v>
      </c>
      <c r="X14" s="172" t="s">
        <v>90</v>
      </c>
      <c r="Y14" s="180">
        <f>S37</f>
        <v>119.63575891069736</v>
      </c>
      <c r="Z14" s="180">
        <f t="shared" si="7"/>
        <v>100.4490517114314</v>
      </c>
    </row>
    <row r="15" spans="2:26" ht="14.25">
      <c r="B15" s="73" t="s">
        <v>13</v>
      </c>
      <c r="C15" s="143">
        <f>VLOOKUP(C$13,'(formula_data)'!B$3:H$5,3)</f>
        <v>900</v>
      </c>
      <c r="E15" s="73" t="s">
        <v>40</v>
      </c>
      <c r="F15" s="289">
        <f>C17*(33/F14)^(1/6)</f>
        <v>0.1634402528796117</v>
      </c>
      <c r="H15" s="73" t="s">
        <v>49</v>
      </c>
      <c r="I15" s="147">
        <f>(C20*(F14/33)^C21)*C10*(88/60)</f>
        <v>44.624910479454044</v>
      </c>
      <c r="K15" s="51">
        <v>90</v>
      </c>
      <c r="L15" s="9">
        <f>VLOOKUP(C$13,'(formula_data)'!B$16:X$18,11)</f>
        <v>1.24</v>
      </c>
      <c r="M15" s="81">
        <f t="shared" si="0"/>
        <v>25.134105599999998</v>
      </c>
      <c r="P15" s="51">
        <v>90</v>
      </c>
      <c r="Q15" s="9">
        <f t="shared" si="1"/>
        <v>22.024993922654534</v>
      </c>
      <c r="R15" s="77">
        <f t="shared" si="2"/>
        <v>21.707914321844264</v>
      </c>
      <c r="S15" s="89">
        <f t="shared" si="3"/>
        <v>-17.208468377865366</v>
      </c>
      <c r="T15" s="56">
        <f t="shared" si="4"/>
        <v>-11.151530210021367</v>
      </c>
      <c r="U15" s="85">
        <f t="shared" si="5"/>
        <v>39.2334623005199</v>
      </c>
      <c r="V15" s="85">
        <f t="shared" si="6"/>
        <v>32.859444531865634</v>
      </c>
      <c r="X15" s="172" t="s">
        <v>91</v>
      </c>
      <c r="Y15" s="180">
        <f>S38</f>
        <v>121.61859577586216</v>
      </c>
      <c r="Z15" s="180">
        <f t="shared" si="7"/>
        <v>101.91403896752178</v>
      </c>
    </row>
    <row r="16" spans="2:26" ht="14.25">
      <c r="B16" s="73" t="s">
        <v>14</v>
      </c>
      <c r="C16" s="143">
        <f>VLOOKUP(C$13,'(formula_data)'!B$3:H$5,4)</f>
        <v>15</v>
      </c>
      <c r="E16" s="73" t="s">
        <v>39</v>
      </c>
      <c r="F16" s="147">
        <f>C19*(F14/33)^C18</f>
        <v>637.0524179687258</v>
      </c>
      <c r="H16" s="156" t="s">
        <v>50</v>
      </c>
      <c r="I16" s="148">
        <v>0.05</v>
      </c>
      <c r="K16" s="51">
        <v>100</v>
      </c>
      <c r="L16" s="9">
        <f>VLOOKUP(C$13,'(formula_data)'!B$16:X$18,12)</f>
        <v>1.26</v>
      </c>
      <c r="M16" s="81">
        <f t="shared" si="0"/>
        <v>25.5394944</v>
      </c>
      <c r="P16" s="51">
        <v>100</v>
      </c>
      <c r="Q16" s="9">
        <f>(M16*I$18*F$21)+(M$22*I$18*C$28)</f>
        <v>22.306765069698873</v>
      </c>
      <c r="R16" s="77">
        <f t="shared" si="2"/>
        <v>21.985628991818125</v>
      </c>
      <c r="S16" s="89">
        <f t="shared" si="3"/>
        <v>-17.208468377865366</v>
      </c>
      <c r="T16" s="56">
        <f t="shared" si="4"/>
        <v>-11.151530210021367</v>
      </c>
      <c r="U16" s="85">
        <f t="shared" si="5"/>
        <v>39.51523344756424</v>
      </c>
      <c r="V16" s="85">
        <f t="shared" si="6"/>
        <v>33.137159201839495</v>
      </c>
      <c r="X16" s="172" t="s">
        <v>92</v>
      </c>
      <c r="Y16" s="180">
        <f>S39</f>
        <v>121.2575134107285</v>
      </c>
      <c r="Z16" s="180">
        <f t="shared" si="7"/>
        <v>101.44523856678218</v>
      </c>
    </row>
    <row r="17" spans="2:26" ht="12.75">
      <c r="B17" s="73" t="s">
        <v>8</v>
      </c>
      <c r="C17" s="143">
        <f>VLOOKUP(C$13,'(formula_data)'!B$3:H$5,5)</f>
        <v>0.2</v>
      </c>
      <c r="E17" s="73" t="s">
        <v>41</v>
      </c>
      <c r="F17" s="289">
        <f>SQRT((1/(1+0.63*(((C5+C7)/F16)^0.63))))</f>
        <v>0.8471595190403448</v>
      </c>
      <c r="H17" s="73" t="s">
        <v>46</v>
      </c>
      <c r="I17" s="147">
        <f>SQRT((1/I16)*I7*I12*I13*(0.53+0.47*I14))</f>
        <v>0.18365312771012102</v>
      </c>
      <c r="K17" s="51">
        <v>120</v>
      </c>
      <c r="L17" s="9">
        <f>VLOOKUP(C$13,'(formula_data)'!B$16:X$18,13)</f>
        <v>1.31</v>
      </c>
      <c r="M17" s="81">
        <f t="shared" si="0"/>
        <v>26.552966400000003</v>
      </c>
      <c r="P17" s="51">
        <v>120</v>
      </c>
      <c r="Q17" s="9">
        <f t="shared" si="1"/>
        <v>23.01119293730972</v>
      </c>
      <c r="R17" s="77">
        <f t="shared" si="2"/>
        <v>22.67991566675278</v>
      </c>
      <c r="S17" s="89">
        <f t="shared" si="3"/>
        <v>-17.208468377865366</v>
      </c>
      <c r="T17" s="56">
        <f t="shared" si="4"/>
        <v>-11.151530210021367</v>
      </c>
      <c r="U17" s="85">
        <f t="shared" si="5"/>
        <v>40.21966131517509</v>
      </c>
      <c r="V17" s="85">
        <f t="shared" si="6"/>
        <v>33.83144587677415</v>
      </c>
      <c r="X17" s="172" t="s">
        <v>93</v>
      </c>
      <c r="Y17" s="180">
        <f>S40</f>
        <v>116.46866444795485</v>
      </c>
      <c r="Z17" s="180">
        <f t="shared" si="7"/>
        <v>97.21463555547939</v>
      </c>
    </row>
    <row r="18" spans="2:26" ht="15" thickBot="1">
      <c r="B18" s="73" t="s">
        <v>9</v>
      </c>
      <c r="C18" s="143">
        <f>VLOOKUP(C$13,'(formula_data)'!B$3:H$5,6)</f>
        <v>0.2</v>
      </c>
      <c r="E18" s="74" t="s">
        <v>42</v>
      </c>
      <c r="F18" s="149">
        <f>MAX(0.85,0.925*((1+1.7*F13*F15*F17)/(1+1.7*F13*F15)))</f>
        <v>0.856321974034126</v>
      </c>
      <c r="H18" s="74" t="s">
        <v>56</v>
      </c>
      <c r="I18" s="149">
        <f>0.925*((1+(1.7*F15)*SQRT((F13^2*F17^2)+((I6^2)*(I17^2))))/(1+1.7*F13*F15))</f>
        <v>0.8688299573284296</v>
      </c>
      <c r="K18" s="51">
        <v>140</v>
      </c>
      <c r="L18" s="9">
        <f>VLOOKUP(C$13,'(formula_data)'!B$16:X$18,14)</f>
        <v>1.36</v>
      </c>
      <c r="M18" s="81">
        <f t="shared" si="0"/>
        <v>27.566438400000003</v>
      </c>
      <c r="P18" s="51">
        <v>140</v>
      </c>
      <c r="Q18" s="9">
        <f t="shared" si="1"/>
        <v>23.715620804920565</v>
      </c>
      <c r="R18" s="77">
        <f t="shared" si="2"/>
        <v>23.37420234168743</v>
      </c>
      <c r="S18" s="89">
        <f t="shared" si="3"/>
        <v>-17.208468377865366</v>
      </c>
      <c r="T18" s="56">
        <f t="shared" si="4"/>
        <v>-11.151530210021367</v>
      </c>
      <c r="U18" s="85">
        <f t="shared" si="5"/>
        <v>40.924089182785934</v>
      </c>
      <c r="V18" s="85">
        <f t="shared" si="6"/>
        <v>34.5257325517088</v>
      </c>
      <c r="X18" s="172" t="s">
        <v>94</v>
      </c>
      <c r="Y18" s="180">
        <f>S41</f>
        <v>114.07850398218643</v>
      </c>
      <c r="Z18" s="180">
        <f t="shared" si="7"/>
        <v>94.97180098998274</v>
      </c>
    </row>
    <row r="19" spans="2:26" ht="13.5" thickBot="1">
      <c r="B19" s="157" t="s">
        <v>10</v>
      </c>
      <c r="C19" s="143">
        <f>VLOOKUP(C$13,'(formula_data)'!B$3:H$5,7)</f>
        <v>500</v>
      </c>
      <c r="K19" s="51">
        <v>160</v>
      </c>
      <c r="L19" s="9">
        <f>VLOOKUP(C$13,'(formula_data)'!B$16:X$18,15)</f>
        <v>1.39</v>
      </c>
      <c r="M19" s="81">
        <f t="shared" si="0"/>
        <v>28.174521599999995</v>
      </c>
      <c r="P19" s="51">
        <v>160</v>
      </c>
      <c r="Q19" s="9">
        <f t="shared" si="1"/>
        <v>24.13827752548707</v>
      </c>
      <c r="R19" s="77">
        <f t="shared" si="2"/>
        <v>23.790774346648213</v>
      </c>
      <c r="S19" s="89">
        <f t="shared" si="3"/>
        <v>-17.208468377865366</v>
      </c>
      <c r="T19" s="56">
        <f t="shared" si="4"/>
        <v>-11.151530210021367</v>
      </c>
      <c r="U19" s="85">
        <f t="shared" si="5"/>
        <v>41.346745903352435</v>
      </c>
      <c r="V19" s="85">
        <f t="shared" si="6"/>
        <v>34.94230455666958</v>
      </c>
      <c r="X19" s="172" t="s">
        <v>95</v>
      </c>
      <c r="Y19" s="180">
        <f>S42</f>
        <v>112.44272854987838</v>
      </c>
      <c r="Z19" s="180">
        <f t="shared" si="7"/>
        <v>93.35957475922784</v>
      </c>
    </row>
    <row r="20" spans="2:26" ht="13.5" thickBot="1">
      <c r="B20" s="158" t="s">
        <v>50</v>
      </c>
      <c r="C20" s="145">
        <f>VLOOKUP(C$13,'(formula_data)'!B3:J5,8)</f>
        <v>0.15384615384615385</v>
      </c>
      <c r="E20" s="55" t="s">
        <v>63</v>
      </c>
      <c r="H20" s="55" t="s">
        <v>65</v>
      </c>
      <c r="K20" s="51">
        <v>180</v>
      </c>
      <c r="L20" s="9">
        <f>VLOOKUP(C$13,'(formula_data)'!B$16:X$18,16)</f>
        <v>1.43</v>
      </c>
      <c r="M20" s="81">
        <f t="shared" si="0"/>
        <v>28.985299199999996</v>
      </c>
      <c r="P20" s="51">
        <v>180</v>
      </c>
      <c r="Q20" s="9">
        <f t="shared" si="1"/>
        <v>24.70181981957575</v>
      </c>
      <c r="R20" s="77">
        <f t="shared" si="2"/>
        <v>24.346203686595935</v>
      </c>
      <c r="S20" s="89">
        <f t="shared" si="3"/>
        <v>-17.208468377865366</v>
      </c>
      <c r="T20" s="56">
        <f t="shared" si="4"/>
        <v>-11.151530210021367</v>
      </c>
      <c r="U20" s="85">
        <f t="shared" si="5"/>
        <v>41.91028819744112</v>
      </c>
      <c r="V20" s="85">
        <f t="shared" si="6"/>
        <v>35.497733896617305</v>
      </c>
      <c r="X20" s="172" t="s">
        <v>96</v>
      </c>
      <c r="Y20" s="180">
        <f>S43</f>
        <v>197.02812846186148</v>
      </c>
      <c r="Z20" s="180">
        <f t="shared" si="7"/>
        <v>162.8761865948715</v>
      </c>
    </row>
    <row r="21" spans="2:26" ht="15" thickBot="1">
      <c r="B21" s="159" t="s">
        <v>6</v>
      </c>
      <c r="C21" s="143">
        <f>VLOOKUP(C$13,'(formula_data)'!B$4:J$6,9)</f>
        <v>0.65</v>
      </c>
      <c r="E21" s="154" t="s">
        <v>64</v>
      </c>
      <c r="F21" s="139">
        <v>0.8</v>
      </c>
      <c r="H21" s="44" t="s">
        <v>66</v>
      </c>
      <c r="I21" s="46" t="s">
        <v>179</v>
      </c>
      <c r="K21" s="52">
        <v>200</v>
      </c>
      <c r="L21" s="53">
        <f>VLOOKUP(C$13,'(formula_data)'!B$16:X$18,17)</f>
        <v>1.46</v>
      </c>
      <c r="M21" s="82">
        <f t="shared" si="0"/>
        <v>29.593382399999996</v>
      </c>
      <c r="P21" s="52">
        <v>200</v>
      </c>
      <c r="Q21" s="53">
        <f>(M21*I$18*F$21)+(M$22*I$18*C$28)</f>
        <v>25.124476540142258</v>
      </c>
      <c r="R21" s="86">
        <f>(M21*F$18*F$21)+(M$22*F$18*C$28)</f>
        <v>24.76277569155673</v>
      </c>
      <c r="S21" s="90">
        <f>S6</f>
        <v>-17.208468377865366</v>
      </c>
      <c r="T21" s="91">
        <f>T6</f>
        <v>-11.151530210021367</v>
      </c>
      <c r="U21" s="85">
        <f>Q21+(-S21)</f>
        <v>42.33294491800763</v>
      </c>
      <c r="V21" s="85">
        <f>R21+(-T21)</f>
        <v>35.914305901578096</v>
      </c>
      <c r="X21" s="172" t="s">
        <v>97</v>
      </c>
      <c r="Y21" s="180">
        <f>S44</f>
        <v>216.25665041222052</v>
      </c>
      <c r="Z21" s="180">
        <f t="shared" si="7"/>
        <v>176.70901544967626</v>
      </c>
    </row>
    <row r="22" spans="2:26" ht="13.5" thickBot="1">
      <c r="B22" s="160" t="s">
        <v>6</v>
      </c>
      <c r="C22" s="145">
        <f>VLOOKUP(C$13,'(formula_data)'!B$3:L$5,10)</f>
        <v>0.10526315789473684</v>
      </c>
      <c r="G22" s="54"/>
      <c r="H22" s="309">
        <f>C5/C6</f>
        <v>0.3762057877813505</v>
      </c>
      <c r="I22" s="290">
        <f>IF(H22&lt;1,-0.5,(IF(H22&gt;4,-0.2,IF(H22=2,-0.3,IF(H22&lt;2,(-0.3)-(2-H22)*0.2,IF(H22&gt;2,(-0.2)-(((4-H22)/2)*0.1)))))))</f>
        <v>-0.5</v>
      </c>
      <c r="K22" s="79">
        <f>C7</f>
        <v>184.66666666666666</v>
      </c>
      <c r="L22" s="92">
        <f>1.43+((K22-K20)/(K21-K20))*(L21-L20)</f>
        <v>1.4369999999999998</v>
      </c>
      <c r="M22" s="80">
        <f>0.00256*L22*C$8*C$9*(C$10^2)*C$12</f>
        <v>29.127185279999996</v>
      </c>
      <c r="P22" s="79">
        <f>C7</f>
        <v>184.66666666666666</v>
      </c>
      <c r="Q22" s="92">
        <f>(M22*I$18*F$21)+(M$22*I$18*C$28)</f>
        <v>24.800439721041265</v>
      </c>
      <c r="R22" s="87">
        <f>(M22*F$18*F$21)+(M$22*F$18*C$28)</f>
        <v>24.443403821086786</v>
      </c>
      <c r="S22" s="79">
        <f>S6</f>
        <v>-17.208468377865366</v>
      </c>
      <c r="T22" s="80">
        <f>T6</f>
        <v>-11.151530210021367</v>
      </c>
      <c r="U22" s="93">
        <f>Q22+(-S22)</f>
        <v>42.00890809890663</v>
      </c>
      <c r="V22" s="93">
        <f>R22+(-T22)</f>
        <v>35.59493403110815</v>
      </c>
      <c r="X22" s="172" t="s">
        <v>98</v>
      </c>
      <c r="Y22" s="180">
        <f>S45</f>
        <v>83.94244523369036</v>
      </c>
      <c r="Z22" s="180">
        <f t="shared" si="7"/>
        <v>68.28069306682987</v>
      </c>
    </row>
    <row r="23" spans="2:26" ht="13.5" thickBot="1">
      <c r="B23" s="161" t="s">
        <v>50</v>
      </c>
      <c r="C23" s="144">
        <f>VLOOKUP(C$13,'(formula_data)'!B$3:L$5,11)</f>
        <v>1</v>
      </c>
      <c r="G23" s="54"/>
      <c r="H23" s="310">
        <f>C6/C5</f>
        <v>2.658119658119658</v>
      </c>
      <c r="I23" s="291">
        <f>IF(H23&lt;1,-0.5,(IF(H23&gt;4,-0.2,IF(H23=2,-0.3,IF(H23&lt;2,(-0.3)-(2-H23)*0.2,IF(H23&gt;2,(-0.2)-(((4-H23)/2)*0.1)))))))</f>
        <v>-0.26709401709401714</v>
      </c>
      <c r="X23" s="172" t="s">
        <v>99</v>
      </c>
      <c r="Y23" s="183">
        <f>S46</f>
        <v>2225.7584442530233</v>
      </c>
      <c r="Z23" s="183">
        <f>U46</f>
        <v>1861.2900366636263</v>
      </c>
    </row>
    <row r="24" spans="24:26" ht="13.5" thickBot="1">
      <c r="X24" s="74" t="s">
        <v>100</v>
      </c>
      <c r="Y24" s="251">
        <f>'(formula_data)'!H71</f>
        <v>212133.48054003515</v>
      </c>
      <c r="Z24" s="251">
        <f>V46</f>
        <v>178533.71421809445</v>
      </c>
    </row>
    <row r="25" spans="2:20" ht="18.75" thickBot="1">
      <c r="B25" s="254" t="s">
        <v>68</v>
      </c>
      <c r="C25" s="256"/>
      <c r="D25" s="255"/>
      <c r="E25" s="59"/>
      <c r="H25" s="59"/>
      <c r="I25" s="59"/>
      <c r="J25" s="68"/>
      <c r="K25" s="68"/>
      <c r="L25" s="68"/>
      <c r="P25" s="262" t="s">
        <v>181</v>
      </c>
      <c r="Q25" s="263"/>
      <c r="R25" s="263"/>
      <c r="S25" s="298"/>
      <c r="T25" s="299"/>
    </row>
    <row r="26" spans="2:22" ht="13.5" thickBot="1">
      <c r="B26" s="47" t="s">
        <v>77</v>
      </c>
      <c r="C26" s="22"/>
      <c r="D26" s="23"/>
      <c r="H26" s="312"/>
      <c r="I26" s="17"/>
      <c r="J26" s="17"/>
      <c r="K26" s="311"/>
      <c r="L26" s="68"/>
      <c r="P26" s="292" t="s">
        <v>80</v>
      </c>
      <c r="Q26" s="293" t="s">
        <v>103</v>
      </c>
      <c r="R26" s="294" t="s">
        <v>102</v>
      </c>
      <c r="S26" s="302" t="str">
        <f>IF(S46&gt;U46,"CONTROLS","")</f>
        <v>CONTROLS</v>
      </c>
      <c r="T26" s="303"/>
      <c r="U26" s="304">
        <f>IF(U46&gt;S46,"CONTROLS","")</f>
      </c>
      <c r="V26" s="305"/>
    </row>
    <row r="27" spans="2:22" ht="13.5" thickBot="1">
      <c r="B27" s="72" t="s">
        <v>70</v>
      </c>
      <c r="C27" s="140" t="s">
        <v>72</v>
      </c>
      <c r="D27" s="64"/>
      <c r="H27" s="312"/>
      <c r="I27" s="17"/>
      <c r="J27" s="17"/>
      <c r="K27" s="311"/>
      <c r="L27" s="68"/>
      <c r="P27" s="295"/>
      <c r="Q27" s="296"/>
      <c r="R27" s="297"/>
      <c r="S27" s="253" t="s">
        <v>177</v>
      </c>
      <c r="T27" s="75" t="s">
        <v>180</v>
      </c>
      <c r="U27" s="253" t="s">
        <v>177</v>
      </c>
      <c r="V27" s="75" t="s">
        <v>180</v>
      </c>
    </row>
    <row r="28" spans="2:22" ht="15" thickBot="1">
      <c r="B28" s="153" t="s">
        <v>69</v>
      </c>
      <c r="C28" s="141">
        <f>IF(C27="Open",0,VLOOKUP(C27,'(formula_data)'!B23:C25,2))</f>
        <v>0.18</v>
      </c>
      <c r="D28" s="65" t="s">
        <v>76</v>
      </c>
      <c r="H28" s="312"/>
      <c r="I28" s="17"/>
      <c r="J28" s="17"/>
      <c r="K28" s="311"/>
      <c r="L28" s="68"/>
      <c r="P28" s="72">
        <v>18</v>
      </c>
      <c r="Q28" s="150">
        <v>8</v>
      </c>
      <c r="R28" s="77">
        <f>SUM(Q28:Q45)</f>
        <v>184.66666666666669</v>
      </c>
      <c r="S28" s="247">
        <f>'(formula_data)'!G70</f>
        <v>52.66218347800149</v>
      </c>
      <c r="T28" s="247">
        <f>'(formula_data)'!H70</f>
        <v>9724.949882270943</v>
      </c>
      <c r="U28" s="247">
        <f>'(formula_data)'!G92</f>
        <v>44.677396541563155</v>
      </c>
      <c r="V28" s="247">
        <f>'(formula_data)'!H92</f>
        <v>8250.42589467533</v>
      </c>
    </row>
    <row r="29" spans="8:22" ht="12.75">
      <c r="H29" s="312"/>
      <c r="I29" s="17"/>
      <c r="J29" s="17"/>
      <c r="K29" s="311"/>
      <c r="L29" s="68"/>
      <c r="P29" s="73">
        <v>17</v>
      </c>
      <c r="Q29" s="151">
        <v>8</v>
      </c>
      <c r="R29" s="76">
        <f>SUM(Q29:Q45)</f>
        <v>176.66666666666669</v>
      </c>
      <c r="S29" s="247">
        <f>'(formula_data)'!G69</f>
        <v>104.36042786196428</v>
      </c>
      <c r="T29" s="247">
        <f>'(formula_data)'!H69</f>
        <v>18437.008922280358</v>
      </c>
      <c r="U29" s="247">
        <f>'(formula_data)'!G91</f>
        <v>88.40473119714571</v>
      </c>
      <c r="V29" s="247">
        <f>'(formula_data)'!H91</f>
        <v>15618.16917816241</v>
      </c>
    </row>
    <row r="30" spans="16:22" ht="12.75">
      <c r="P30" s="73">
        <v>16</v>
      </c>
      <c r="Q30" s="152">
        <f>140/12</f>
        <v>11.666666666666666</v>
      </c>
      <c r="R30" s="76">
        <f>SUM(Q30:Q45)</f>
        <v>168.66666666666669</v>
      </c>
      <c r="S30" s="247">
        <f>'(formula_data)'!G68</f>
        <v>128.16864635580788</v>
      </c>
      <c r="T30" s="247">
        <f>'(formula_data)'!H68</f>
        <v>21617.77835201293</v>
      </c>
      <c r="U30" s="247">
        <f>'(formula_data)'!G90</f>
        <v>108.5579865448385</v>
      </c>
      <c r="V30" s="247">
        <f>'(formula_data)'!H90</f>
        <v>18310.113730562764</v>
      </c>
    </row>
    <row r="31" spans="2:22" ht="12.7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P31" s="73">
        <v>15</v>
      </c>
      <c r="Q31" s="152">
        <f aca="true" t="shared" si="8" ref="Q31:Q37">116/12</f>
        <v>9.666666666666666</v>
      </c>
      <c r="R31" s="78">
        <f>SUM(Q31:Q45)</f>
        <v>157</v>
      </c>
      <c r="S31" s="247">
        <f>'(formula_data)'!G67</f>
        <v>124.62341346545809</v>
      </c>
      <c r="T31" s="247">
        <f>'(formula_data)'!H67</f>
        <v>19565.875914076918</v>
      </c>
      <c r="U31" s="247">
        <f>'(formula_data)'!G89</f>
        <v>105.36490222752784</v>
      </c>
      <c r="V31" s="247">
        <f>'(formula_data)'!H89</f>
        <v>16542.28964972187</v>
      </c>
    </row>
    <row r="32" spans="2:22" ht="12.7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P32" s="73">
        <v>14</v>
      </c>
      <c r="Q32" s="152">
        <f t="shared" si="8"/>
        <v>9.666666666666666</v>
      </c>
      <c r="R32" s="76">
        <f>SUM(Q32:Q45)</f>
        <v>147.33333333333334</v>
      </c>
      <c r="S32" s="247">
        <f>'(formula_data)'!G66</f>
        <v>124.30210043411185</v>
      </c>
      <c r="T32" s="247">
        <f>'(formula_data)'!H66</f>
        <v>18313.84279729248</v>
      </c>
      <c r="U32" s="247">
        <f>'(formula_data)'!G88</f>
        <v>105.04821493220098</v>
      </c>
      <c r="V32" s="247">
        <f>'(formula_data)'!H88</f>
        <v>15477.10366667761</v>
      </c>
    </row>
    <row r="33" spans="2:22" ht="12.7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P33" s="73">
        <v>12</v>
      </c>
      <c r="Q33" s="152">
        <f t="shared" si="8"/>
        <v>9.666666666666666</v>
      </c>
      <c r="R33" s="76">
        <f>SUM(Q33:Q45)</f>
        <v>137.66666666666669</v>
      </c>
      <c r="S33" s="247">
        <f>'(formula_data)'!G65</f>
        <v>123.36006904675591</v>
      </c>
      <c r="T33" s="247">
        <f>'(formula_data)'!H65</f>
        <v>16982.56950543673</v>
      </c>
      <c r="U33" s="247">
        <f>'(formula_data)'!G87</f>
        <v>104.1197453618109</v>
      </c>
      <c r="V33" s="247">
        <f>'(formula_data)'!H87</f>
        <v>14333.818278142637</v>
      </c>
    </row>
    <row r="34" spans="2:22" ht="12.7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P34" s="73">
        <v>11</v>
      </c>
      <c r="Q34" s="152">
        <f t="shared" si="8"/>
        <v>9.666666666666666</v>
      </c>
      <c r="R34" s="78">
        <f>SUM(Q34:Q45)</f>
        <v>128</v>
      </c>
      <c r="S34" s="247">
        <f>'(formula_data)'!G64</f>
        <v>123.03145344651543</v>
      </c>
      <c r="T34" s="247">
        <f>'(formula_data)'!H64</f>
        <v>15748.026041153975</v>
      </c>
      <c r="U34" s="247">
        <f>'(formula_data)'!G86</f>
        <v>103.79586062795389</v>
      </c>
      <c r="V34" s="247">
        <f>'(formula_data)'!H86</f>
        <v>13285.870160378097</v>
      </c>
    </row>
    <row r="35" spans="2:22" ht="12.7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P35" s="73">
        <v>10</v>
      </c>
      <c r="Q35" s="152">
        <f t="shared" si="8"/>
        <v>9.666666666666666</v>
      </c>
      <c r="R35" s="76">
        <f>SUM(Q35:Q45)</f>
        <v>118.33333333333333</v>
      </c>
      <c r="S35" s="247">
        <f>'(formula_data)'!G63</f>
        <v>121.60745251214011</v>
      </c>
      <c r="T35" s="247">
        <f>'(formula_data)'!H63</f>
        <v>14390.215213936579</v>
      </c>
      <c r="U35" s="247">
        <f>'(formula_data)'!G85</f>
        <v>102.39236011457349</v>
      </c>
      <c r="V35" s="247">
        <f>'(formula_data)'!H85</f>
        <v>12116.429280224529</v>
      </c>
    </row>
    <row r="36" spans="2:22" ht="12.7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P36" s="73">
        <v>9</v>
      </c>
      <c r="Q36" s="152">
        <f t="shared" si="8"/>
        <v>9.666666666666666</v>
      </c>
      <c r="R36" s="76">
        <f>SUM(Q36:Q45)</f>
        <v>108.66666666666666</v>
      </c>
      <c r="S36" s="247">
        <f>'(formula_data)'!G62</f>
        <v>120.91370846718803</v>
      </c>
      <c r="T36" s="247">
        <f>'(formula_data)'!H62</f>
        <v>13139.28965343443</v>
      </c>
      <c r="U36" s="247">
        <f>'(formula_data)'!G84</f>
        <v>101.70860345420867</v>
      </c>
      <c r="V36" s="247">
        <f>'(formula_data)'!H84</f>
        <v>11052.334908690675</v>
      </c>
    </row>
    <row r="37" spans="2:22" ht="12.7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P37" s="73">
        <v>8</v>
      </c>
      <c r="Q37" s="152">
        <f t="shared" si="8"/>
        <v>9.666666666666666</v>
      </c>
      <c r="R37" s="78">
        <f>SUM(Q37:Q45)</f>
        <v>98.99999999999999</v>
      </c>
      <c r="S37" s="247">
        <f>'(formula_data)'!G61</f>
        <v>119.63575891069736</v>
      </c>
      <c r="T37" s="247">
        <f>'(formula_data)'!H61</f>
        <v>11843.940132159038</v>
      </c>
      <c r="U37" s="247">
        <f>'(formula_data)'!G83</f>
        <v>100.4490517114314</v>
      </c>
      <c r="V37" s="247">
        <f>'(formula_data)'!H83</f>
        <v>9944.456119431707</v>
      </c>
    </row>
    <row r="38" spans="2:24" ht="12.7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P38" s="73">
        <v>7</v>
      </c>
      <c r="Q38" s="152">
        <f>122.5/12</f>
        <v>10.208333333333334</v>
      </c>
      <c r="R38" s="76">
        <f>SUM(Q38:Q45)</f>
        <v>89.33333333333333</v>
      </c>
      <c r="S38" s="247">
        <f>'(formula_data)'!G60</f>
        <v>121.61859577586216</v>
      </c>
      <c r="T38" s="247">
        <f>'(formula_data)'!H60</f>
        <v>10864.594555977019</v>
      </c>
      <c r="U38" s="247">
        <f>'(formula_data)'!G82</f>
        <v>101.91403896752178</v>
      </c>
      <c r="V38" s="247">
        <f>'(formula_data)'!H82</f>
        <v>9104.320814431945</v>
      </c>
      <c r="X38" s="301"/>
    </row>
    <row r="39" spans="2:22" ht="12.7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P39" s="73">
        <v>6</v>
      </c>
      <c r="Q39" s="152">
        <f>117.5/12</f>
        <v>9.791666666666666</v>
      </c>
      <c r="R39" s="76">
        <f>SUM(Q39:Q45)</f>
        <v>79.125</v>
      </c>
      <c r="S39" s="247">
        <f>'(formula_data)'!G59</f>
        <v>121.2575134107285</v>
      </c>
      <c r="T39" s="247">
        <f>'(formula_data)'!H59</f>
        <v>9594.500748623894</v>
      </c>
      <c r="U39" s="247">
        <f>'(formula_data)'!G81</f>
        <v>101.44523856678218</v>
      </c>
      <c r="V39" s="247">
        <f>'(formula_data)'!H81</f>
        <v>8026.85450159664</v>
      </c>
    </row>
    <row r="40" spans="2:22" ht="12.7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P40" s="73">
        <v>5</v>
      </c>
      <c r="Q40" s="152">
        <f>116/12</f>
        <v>9.666666666666666</v>
      </c>
      <c r="R40" s="76">
        <f>SUM(Q40:Q45)</f>
        <v>69.33333333333333</v>
      </c>
      <c r="S40" s="247">
        <f>'(formula_data)'!G58</f>
        <v>116.46866444795485</v>
      </c>
      <c r="T40" s="247">
        <f>'(formula_data)'!H58</f>
        <v>8075.160735058203</v>
      </c>
      <c r="U40" s="247">
        <f>'(formula_data)'!G80</f>
        <v>97.21463555547939</v>
      </c>
      <c r="V40" s="247">
        <f>'(formula_data)'!H80</f>
        <v>6740.21473184657</v>
      </c>
    </row>
    <row r="41" spans="2:22" ht="12.7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P41" s="73">
        <v>4</v>
      </c>
      <c r="Q41" s="152">
        <f>116/12</f>
        <v>9.666666666666666</v>
      </c>
      <c r="R41" s="76">
        <f>SUM(Q41:Q45)</f>
        <v>59.666666666666664</v>
      </c>
      <c r="S41" s="247">
        <f>'(formula_data)'!G57</f>
        <v>114.07850398218643</v>
      </c>
      <c r="T41" s="247">
        <f>'(formula_data)'!H57</f>
        <v>6806.684070937124</v>
      </c>
      <c r="U41" s="247">
        <f>'(formula_data)'!G79</f>
        <v>94.97180098998274</v>
      </c>
      <c r="V41" s="247">
        <f>'(formula_data)'!H79</f>
        <v>5666.6507924023035</v>
      </c>
    </row>
    <row r="42" spans="2:22" ht="12.7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P42" s="73">
        <v>3</v>
      </c>
      <c r="Q42" s="152">
        <f>116/12</f>
        <v>9.666666666666666</v>
      </c>
      <c r="R42" s="78">
        <f>SUM(Q42:Q45)</f>
        <v>50</v>
      </c>
      <c r="S42" s="247">
        <f>'(formula_data)'!G56</f>
        <v>112.44272854987838</v>
      </c>
      <c r="T42" s="247">
        <f>'(formula_data)'!H56</f>
        <v>5622.136427493919</v>
      </c>
      <c r="U42" s="247">
        <f>'(formula_data)'!G78</f>
        <v>93.35957475922784</v>
      </c>
      <c r="V42" s="247">
        <f>'(formula_data)'!H78</f>
        <v>4667.978737961392</v>
      </c>
    </row>
    <row r="43" spans="2:22" ht="12.7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P43" s="73">
        <v>2</v>
      </c>
      <c r="Q43" s="152">
        <f>292/12</f>
        <v>24.333333333333332</v>
      </c>
      <c r="R43" s="76">
        <f>SUM(Q43:Q45)</f>
        <v>40.33333333333333</v>
      </c>
      <c r="S43" s="247">
        <f>'(formula_data)'!G55</f>
        <v>197.02812846186148</v>
      </c>
      <c r="T43" s="247">
        <f>'(formula_data)'!H55</f>
        <v>7946.801181295079</v>
      </c>
      <c r="U43" s="247">
        <f>'(formula_data)'!G77</f>
        <v>162.8761865948715</v>
      </c>
      <c r="V43" s="247">
        <f>'(formula_data)'!H77</f>
        <v>6569.33952599315</v>
      </c>
    </row>
    <row r="44" spans="2:22" ht="12.7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P44" s="73">
        <v>1</v>
      </c>
      <c r="Q44" s="151">
        <v>16</v>
      </c>
      <c r="R44" s="14">
        <f>SUM(Q44:Q45)</f>
        <v>16</v>
      </c>
      <c r="S44" s="247">
        <f>'(formula_data)'!G54</f>
        <v>216.25665041222052</v>
      </c>
      <c r="T44" s="247">
        <f>'(formula_data)'!H54</f>
        <v>3460.1064065955284</v>
      </c>
      <c r="U44" s="247">
        <f>'(formula_data)'!G76</f>
        <v>176.70901544967626</v>
      </c>
      <c r="V44" s="247">
        <f>'(formula_data)'!H76</f>
        <v>2827.34424719482</v>
      </c>
    </row>
    <row r="45" spans="2:22" ht="13.5" thickBot="1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P45" s="74">
        <v>0</v>
      </c>
      <c r="Q45" s="243">
        <v>0</v>
      </c>
      <c r="R45" s="244">
        <v>0</v>
      </c>
      <c r="S45" s="248">
        <f>'(formula_data)'!G53</f>
        <v>83.94244523369036</v>
      </c>
      <c r="T45" s="250"/>
      <c r="U45" s="248">
        <f>'(formula_data)'!G75</f>
        <v>68.28069306682987</v>
      </c>
      <c r="V45" s="250"/>
    </row>
    <row r="46" spans="2:22" ht="13.5" thickBot="1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P46" s="127" t="s">
        <v>141</v>
      </c>
      <c r="Q46" s="245"/>
      <c r="R46" s="246"/>
      <c r="S46" s="249">
        <f>'(formula_data)'!G71</f>
        <v>2225.7584442530233</v>
      </c>
      <c r="T46" s="249">
        <f>'(formula_data)'!H71</f>
        <v>212133.48054003515</v>
      </c>
      <c r="U46" s="249">
        <f>'(formula_data)'!G93</f>
        <v>1861.2900366636263</v>
      </c>
      <c r="V46" s="249">
        <f>'(formula_data)'!H93</f>
        <v>178533.71421809445</v>
      </c>
    </row>
    <row r="47" spans="2:22" ht="12.7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S47" s="300"/>
      <c r="T47" s="300"/>
      <c r="U47" s="300"/>
      <c r="V47" s="300"/>
    </row>
    <row r="48" spans="2:13" ht="12.7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2:13" ht="12.7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2:13" ht="12.7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2:13" ht="12.7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2:13" ht="12.7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2:13" ht="12.7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2:13" ht="12.7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1:14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</sheetData>
  <mergeCells count="19">
    <mergeCell ref="U26:V26"/>
    <mergeCell ref="S47:T47"/>
    <mergeCell ref="U47:V47"/>
    <mergeCell ref="P26:P27"/>
    <mergeCell ref="R26:R27"/>
    <mergeCell ref="Q26:Q27"/>
    <mergeCell ref="S26:T26"/>
    <mergeCell ref="B2:E2"/>
    <mergeCell ref="U4:U5"/>
    <mergeCell ref="P25:T25"/>
    <mergeCell ref="X2:Z2"/>
    <mergeCell ref="B25:D25"/>
    <mergeCell ref="Q4:R4"/>
    <mergeCell ref="S4:T4"/>
    <mergeCell ref="P2:T2"/>
    <mergeCell ref="V4:V5"/>
    <mergeCell ref="B4:C4"/>
    <mergeCell ref="E4:F4"/>
    <mergeCell ref="K4:M4"/>
  </mergeCells>
  <dataValidations count="3">
    <dataValidation type="list" allowBlank="1" showInputMessage="1" showErrorMessage="1" sqref="C27">
      <formula1>encs</formula1>
    </dataValidation>
    <dataValidation type="list" allowBlank="1" showInputMessage="1" showErrorMessage="1" sqref="C13">
      <formula1>"B,C,D"</formula1>
    </dataValidation>
    <dataValidation type="list" allowBlank="1" showInputMessage="1" showErrorMessage="1" sqref="F5">
      <formula1>"Steel, Concrete, Eccentric Steel, Other"</formula1>
    </dataValidation>
  </dataValidations>
  <printOptions/>
  <pageMargins left="0.75" right="0.75" top="1" bottom="1" header="0.5" footer="0.5"/>
  <pageSetup horizontalDpi="600" verticalDpi="600" orientation="portrait" scale="85" r:id="rId1"/>
  <rowBreaks count="1" manualBreakCount="1">
    <brk id="55" max="13" man="1"/>
  </rowBreaks>
  <colBreaks count="1" manualBreakCount="1">
    <brk id="14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24"/>
  <sheetViews>
    <sheetView zoomScale="130" zoomScaleNormal="130" zoomScaleSheetLayoutView="85" workbookViewId="0" topLeftCell="B1">
      <selection activeCell="F12" sqref="F12"/>
    </sheetView>
  </sheetViews>
  <sheetFormatPr defaultColWidth="9.140625" defaultRowHeight="12.75"/>
  <cols>
    <col min="1" max="1" width="2.00390625" style="0" customWidth="1"/>
    <col min="2" max="2" width="16.8515625" style="0" bestFit="1" customWidth="1"/>
    <col min="3" max="3" width="6.57421875" style="0" bestFit="1" customWidth="1"/>
    <col min="4" max="4" width="1.421875" style="0" customWidth="1"/>
    <col min="5" max="5" width="13.7109375" style="0" bestFit="1" customWidth="1"/>
    <col min="6" max="6" width="8.140625" style="0" bestFit="1" customWidth="1"/>
    <col min="7" max="7" width="2.00390625" style="0" customWidth="1"/>
    <col min="8" max="8" width="5.421875" style="0" bestFit="1" customWidth="1"/>
    <col min="10" max="10" width="6.57421875" style="0" bestFit="1" customWidth="1"/>
    <col min="11" max="11" width="11.140625" style="0" bestFit="1" customWidth="1"/>
    <col min="12" max="12" width="7.57421875" style="0" bestFit="1" customWidth="1"/>
    <col min="13" max="13" width="7.8515625" style="0" bestFit="1" customWidth="1"/>
    <col min="14" max="14" width="10.00390625" style="0" bestFit="1" customWidth="1"/>
    <col min="15" max="15" width="1.8515625" style="0" customWidth="1"/>
  </cols>
  <sheetData>
    <row r="1" ht="13.5" thickBot="1"/>
    <row r="2" spans="2:5" ht="19.5" thickBot="1">
      <c r="B2" s="271" t="s">
        <v>104</v>
      </c>
      <c r="C2" s="272"/>
      <c r="D2" s="272"/>
      <c r="E2" s="273"/>
    </row>
    <row r="3" ht="3.75" customHeight="1" thickBot="1"/>
    <row r="4" spans="2:10" ht="13.5" thickBot="1">
      <c r="B4" s="254" t="s">
        <v>0</v>
      </c>
      <c r="C4" s="255"/>
      <c r="E4" s="254" t="s">
        <v>132</v>
      </c>
      <c r="F4" s="255"/>
      <c r="H4" s="265" t="s">
        <v>182</v>
      </c>
      <c r="I4" s="270"/>
      <c r="J4" s="266"/>
    </row>
    <row r="5" spans="2:14" ht="15.75" thickBot="1">
      <c r="B5" s="72" t="s">
        <v>61</v>
      </c>
      <c r="C5" s="142">
        <f>Wind!C5</f>
        <v>117</v>
      </c>
      <c r="E5" s="72" t="s">
        <v>131</v>
      </c>
      <c r="F5" s="133">
        <v>1.75</v>
      </c>
      <c r="H5" s="75" t="s">
        <v>80</v>
      </c>
      <c r="I5" s="184" t="s">
        <v>136</v>
      </c>
      <c r="J5" s="45" t="s">
        <v>137</v>
      </c>
      <c r="K5" s="45" t="s">
        <v>140</v>
      </c>
      <c r="L5" s="45" t="s">
        <v>135</v>
      </c>
      <c r="M5" s="45" t="s">
        <v>143</v>
      </c>
      <c r="N5" s="46" t="s">
        <v>144</v>
      </c>
    </row>
    <row r="6" spans="2:14" ht="15" thickBot="1">
      <c r="B6" s="73" t="s">
        <v>60</v>
      </c>
      <c r="C6" s="143">
        <f>Wind!C6</f>
        <v>311</v>
      </c>
      <c r="E6" s="74" t="s">
        <v>145</v>
      </c>
      <c r="F6" s="134">
        <f>MAX((0.044*C18*C11),(MIN((C18/(C15/C11)),(C19/(F5*(C15/C11))))))</f>
        <v>0.029714285714285714</v>
      </c>
      <c r="H6" s="72">
        <v>18</v>
      </c>
      <c r="I6" s="122">
        <f>(((C5*C6)*F10*0.2)+((C5*C6)*0.2*F9)+((F12*0.5*(J6-J7)*(C6+C5))))/1000</f>
        <v>389.55</v>
      </c>
      <c r="J6" s="117">
        <f>Wind!R28</f>
        <v>184.66666666666669</v>
      </c>
      <c r="K6" s="118">
        <f aca="true" t="shared" si="0" ref="K6:K22">I6*J6^F$19</f>
        <v>1876914.707467015</v>
      </c>
      <c r="L6" s="119">
        <f>K6/K$23</f>
        <v>0.010099270369051776</v>
      </c>
      <c r="M6" s="120">
        <f>L6*F$16</f>
        <v>26.973532733233117</v>
      </c>
      <c r="N6" s="121">
        <f>M6*J6</f>
        <v>4981.112378070383</v>
      </c>
    </row>
    <row r="7" spans="2:14" ht="13.5" thickBot="1">
      <c r="B7" s="73" t="s">
        <v>59</v>
      </c>
      <c r="C7" s="147">
        <f>Wind!C7</f>
        <v>184.66666666666666</v>
      </c>
      <c r="E7" s="24"/>
      <c r="F7" s="24"/>
      <c r="H7" s="73">
        <v>17</v>
      </c>
      <c r="I7" s="123">
        <f>((C$5*C$6*F$11)+(F$12*(J6-J7)*2*(C$5+C$6)))/1000</f>
        <v>5560.77</v>
      </c>
      <c r="J7" s="9">
        <f>Wind!R29</f>
        <v>176.66666666666669</v>
      </c>
      <c r="K7" s="104">
        <f t="shared" si="0"/>
        <v>24932233.277486</v>
      </c>
      <c r="L7" s="105">
        <f aca="true" t="shared" si="1" ref="L7:L22">K7/K$23</f>
        <v>0.13415493190599664</v>
      </c>
      <c r="M7" s="106">
        <f aca="true" t="shared" si="2" ref="M7:M22">L7*F$16</f>
        <v>358.30632460142914</v>
      </c>
      <c r="N7" s="107">
        <f aca="true" t="shared" si="3" ref="N7:N22">M7*J7</f>
        <v>63300.78401291915</v>
      </c>
    </row>
    <row r="8" spans="2:14" ht="13.5" thickBot="1">
      <c r="B8" s="73" t="s">
        <v>133</v>
      </c>
      <c r="C8" s="135">
        <v>17</v>
      </c>
      <c r="E8" s="254" t="s">
        <v>130</v>
      </c>
      <c r="F8" s="255"/>
      <c r="H8" s="73">
        <v>16</v>
      </c>
      <c r="I8" s="123">
        <f aca="true" t="shared" si="4" ref="I8:I22">((C$5*C$6*F$11)+(F$12*(J7-J8)*2*(C$5+C$6)))/1000</f>
        <v>5560.77</v>
      </c>
      <c r="J8" s="9">
        <f>Wind!R30</f>
        <v>168.66666666666669</v>
      </c>
      <c r="K8" s="104">
        <f t="shared" si="0"/>
        <v>23123708.36626283</v>
      </c>
      <c r="L8" s="105">
        <f t="shared" si="1"/>
        <v>0.12442365217605232</v>
      </c>
      <c r="M8" s="106">
        <f t="shared" si="2"/>
        <v>332.31563589422643</v>
      </c>
      <c r="N8" s="107">
        <f t="shared" si="3"/>
        <v>56050.57058749287</v>
      </c>
    </row>
    <row r="9" spans="2:14" ht="12.75">
      <c r="B9" s="73" t="s">
        <v>125</v>
      </c>
      <c r="C9" s="135">
        <f>C7/C8</f>
        <v>10.862745098039214</v>
      </c>
      <c r="E9" s="72" t="s">
        <v>126</v>
      </c>
      <c r="F9" s="128">
        <v>30</v>
      </c>
      <c r="H9" s="73">
        <v>15</v>
      </c>
      <c r="I9" s="123">
        <f t="shared" si="4"/>
        <v>5607.85</v>
      </c>
      <c r="J9" s="9">
        <f>Wind!R31</f>
        <v>157</v>
      </c>
      <c r="K9" s="104">
        <f t="shared" si="0"/>
        <v>20755505.91084457</v>
      </c>
      <c r="L9" s="105">
        <f t="shared" si="1"/>
        <v>0.11168086914453215</v>
      </c>
      <c r="M9" s="106">
        <f t="shared" si="2"/>
        <v>298.28170446622084</v>
      </c>
      <c r="N9" s="107">
        <f t="shared" si="3"/>
        <v>46830.227601196675</v>
      </c>
    </row>
    <row r="10" spans="2:14" ht="12.75">
      <c r="B10" s="73" t="s">
        <v>109</v>
      </c>
      <c r="C10" s="136" t="s">
        <v>114</v>
      </c>
      <c r="E10" s="73" t="s">
        <v>127</v>
      </c>
      <c r="F10" s="129">
        <v>20</v>
      </c>
      <c r="H10" s="73">
        <v>14</v>
      </c>
      <c r="I10" s="123">
        <f t="shared" si="4"/>
        <v>5582.17</v>
      </c>
      <c r="J10" s="9">
        <f>Wind!R32</f>
        <v>147.33333333333334</v>
      </c>
      <c r="K10" s="104">
        <f t="shared" si="0"/>
        <v>18633404.29851706</v>
      </c>
      <c r="L10" s="105">
        <f t="shared" si="1"/>
        <v>0.10026230129579955</v>
      </c>
      <c r="M10" s="106">
        <f t="shared" si="2"/>
        <v>267.78453958406607</v>
      </c>
      <c r="N10" s="107">
        <f t="shared" si="3"/>
        <v>39453.5888320524</v>
      </c>
    </row>
    <row r="11" spans="2:14" ht="12.75">
      <c r="B11" s="73" t="s">
        <v>110</v>
      </c>
      <c r="C11" s="129">
        <f>VLOOKUP(C10,'(formula_data)'!B29:C31,2)</f>
        <v>1</v>
      </c>
      <c r="E11" s="73" t="s">
        <v>128</v>
      </c>
      <c r="F11" s="129">
        <v>150</v>
      </c>
      <c r="H11" s="73">
        <v>12</v>
      </c>
      <c r="I11" s="123">
        <f t="shared" si="4"/>
        <v>5582.17</v>
      </c>
      <c r="J11" s="9">
        <f>Wind!R33</f>
        <v>137.66666666666669</v>
      </c>
      <c r="K11" s="104">
        <f t="shared" si="0"/>
        <v>16687829.48154998</v>
      </c>
      <c r="L11" s="105">
        <f t="shared" si="1"/>
        <v>0.08979358579072151</v>
      </c>
      <c r="M11" s="106">
        <f t="shared" si="2"/>
        <v>239.8242780966176</v>
      </c>
      <c r="N11" s="107">
        <f t="shared" si="3"/>
        <v>33015.80895130103</v>
      </c>
    </row>
    <row r="12" spans="2:14" ht="12.75">
      <c r="B12" s="73" t="s">
        <v>111</v>
      </c>
      <c r="C12" s="129" t="s">
        <v>7</v>
      </c>
      <c r="E12" s="73" t="s">
        <v>129</v>
      </c>
      <c r="F12" s="129">
        <v>15</v>
      </c>
      <c r="H12" s="73">
        <v>11</v>
      </c>
      <c r="I12" s="123">
        <f t="shared" si="4"/>
        <v>5582.17</v>
      </c>
      <c r="J12" s="9">
        <f>Wind!R34</f>
        <v>128</v>
      </c>
      <c r="K12" s="104">
        <f t="shared" si="0"/>
        <v>14825838.298698189</v>
      </c>
      <c r="L12" s="105">
        <f t="shared" si="1"/>
        <v>0.07977461566618736</v>
      </c>
      <c r="M12" s="106">
        <f t="shared" si="2"/>
        <v>213.06521444826217</v>
      </c>
      <c r="N12" s="107">
        <f t="shared" si="3"/>
        <v>27272.347449377557</v>
      </c>
    </row>
    <row r="13" spans="2:14" ht="14.25">
      <c r="B13" s="73" t="s">
        <v>116</v>
      </c>
      <c r="C13" s="129">
        <v>0.2</v>
      </c>
      <c r="E13" s="73" t="s">
        <v>146</v>
      </c>
      <c r="F13" s="130">
        <f>(((C5*C6)*F10*0.2)+((C5*C6)*F9)+((F12*C9*(C6+C5))))/1000</f>
        <v>1306.896823529412</v>
      </c>
      <c r="H13" s="73">
        <v>10</v>
      </c>
      <c r="I13" s="123">
        <f t="shared" si="4"/>
        <v>5582.17</v>
      </c>
      <c r="J13" s="9">
        <f>Wind!R35</f>
        <v>118.33333333333333</v>
      </c>
      <c r="K13" s="104">
        <f t="shared" si="0"/>
        <v>13049747.03792995</v>
      </c>
      <c r="L13" s="105">
        <f t="shared" si="1"/>
        <v>0.07021785436464927</v>
      </c>
      <c r="M13" s="106">
        <f t="shared" si="2"/>
        <v>187.540636496505</v>
      </c>
      <c r="N13" s="107">
        <f t="shared" si="3"/>
        <v>22192.308652086424</v>
      </c>
    </row>
    <row r="14" spans="2:14" ht="14.25">
      <c r="B14" s="73" t="s">
        <v>117</v>
      </c>
      <c r="C14" s="129">
        <v>0.065</v>
      </c>
      <c r="E14" s="73" t="s">
        <v>147</v>
      </c>
      <c r="F14" s="131">
        <f>((C5*C6*F11)+(F12*C9*2*(C5+C6)))/1000</f>
        <v>5597.527647058823</v>
      </c>
      <c r="H14" s="73">
        <v>9</v>
      </c>
      <c r="I14" s="123">
        <f t="shared" si="4"/>
        <v>5582.17</v>
      </c>
      <c r="J14" s="9">
        <f>Wind!R36</f>
        <v>108.66666666666666</v>
      </c>
      <c r="K14" s="104">
        <f t="shared" si="0"/>
        <v>11362126.484789656</v>
      </c>
      <c r="L14" s="105">
        <f t="shared" si="1"/>
        <v>0.06113713472473879</v>
      </c>
      <c r="M14" s="106">
        <f t="shared" si="2"/>
        <v>163.28748953659888</v>
      </c>
      <c r="N14" s="107">
        <f t="shared" si="3"/>
        <v>17743.90719631041</v>
      </c>
    </row>
    <row r="15" spans="2:14" ht="14.25">
      <c r="B15" s="73" t="s">
        <v>46</v>
      </c>
      <c r="C15" s="129">
        <v>3</v>
      </c>
      <c r="E15" s="73" t="s">
        <v>134</v>
      </c>
      <c r="F15" s="131">
        <f>I23</f>
        <v>89884.02999999998</v>
      </c>
      <c r="H15" s="73">
        <v>8</v>
      </c>
      <c r="I15" s="123">
        <f t="shared" si="4"/>
        <v>5582.17</v>
      </c>
      <c r="J15" s="9">
        <f>Wind!R37</f>
        <v>98.99999999999999</v>
      </c>
      <c r="K15" s="104">
        <f t="shared" si="0"/>
        <v>9765854.502640732</v>
      </c>
      <c r="L15" s="105">
        <f t="shared" si="1"/>
        <v>0.05254794190413349</v>
      </c>
      <c r="M15" s="106">
        <f t="shared" si="2"/>
        <v>140.3471319431819</v>
      </c>
      <c r="N15" s="107">
        <f t="shared" si="3"/>
        <v>13894.366062375006</v>
      </c>
    </row>
    <row r="16" spans="2:14" ht="15" thickBot="1">
      <c r="B16" s="73" t="s">
        <v>105</v>
      </c>
      <c r="C16" s="137">
        <f>VLOOKUP(C12,'(formula_data)'!B35:G40,IF(C13&gt;1.25,6,IF(C13&lt;0.25,2,IF(C13=0.5,3,IF(C13=0.75,4,IF(C13=1,5,IF(C13=0.25,2,IF(C13=1.25,6,error))))))))</f>
        <v>1.6</v>
      </c>
      <c r="E16" s="74" t="s">
        <v>142</v>
      </c>
      <c r="F16" s="132">
        <f>F15*F6</f>
        <v>2670.839748571428</v>
      </c>
      <c r="H16" s="73">
        <v>7</v>
      </c>
      <c r="I16" s="123">
        <f t="shared" si="4"/>
        <v>5582.17</v>
      </c>
      <c r="J16" s="9">
        <f>Wind!R38</f>
        <v>89.33333333333333</v>
      </c>
      <c r="K16" s="104">
        <f t="shared" si="0"/>
        <v>8264185.554744597</v>
      </c>
      <c r="L16" s="105">
        <f t="shared" si="1"/>
        <v>0.04446778746276332</v>
      </c>
      <c r="M16" s="106">
        <f t="shared" si="2"/>
        <v>118.76633428657449</v>
      </c>
      <c r="N16" s="107">
        <f t="shared" si="3"/>
        <v>10609.792529600654</v>
      </c>
    </row>
    <row r="17" spans="2:14" ht="15" thickBot="1">
      <c r="B17" s="73" t="s">
        <v>106</v>
      </c>
      <c r="C17" s="137">
        <f>VLOOKUP(C12,'(formula_data)'!B44:G49,IF(Seismic!C14&lt;0.1,2,IF(Seismic!C14=0.1,2,IF(Seismic!C14=0.2,3,IF(Seismic!C14=0.3,4,IF(Seismic!C14=0.4,5,IF(Seismic!C14&gt;0.5,6,IF(Seismic!C14=0.5,6,error))))))))</f>
        <v>2.4</v>
      </c>
      <c r="H17" s="73">
        <v>6</v>
      </c>
      <c r="I17" s="123">
        <f t="shared" si="4"/>
        <v>5589.125</v>
      </c>
      <c r="J17" s="9">
        <f>Wind!R39</f>
        <v>79.125</v>
      </c>
      <c r="K17" s="104">
        <f t="shared" si="0"/>
        <v>6793657.098026743</v>
      </c>
      <c r="L17" s="105">
        <f t="shared" si="1"/>
        <v>0.036555193240610025</v>
      </c>
      <c r="M17" s="106">
        <f t="shared" si="2"/>
        <v>97.63306312373085</v>
      </c>
      <c r="N17" s="107">
        <f t="shared" si="3"/>
        <v>7725.216119665203</v>
      </c>
    </row>
    <row r="18" spans="2:14" ht="15" thickBot="1">
      <c r="B18" s="73" t="s">
        <v>107</v>
      </c>
      <c r="C18" s="137">
        <f>C16*C13</f>
        <v>0.32000000000000006</v>
      </c>
      <c r="E18" s="265" t="s">
        <v>138</v>
      </c>
      <c r="F18" s="266"/>
      <c r="H18" s="73">
        <v>5</v>
      </c>
      <c r="I18" s="123">
        <f t="shared" si="4"/>
        <v>5583.775</v>
      </c>
      <c r="J18" s="9">
        <f>Wind!R40</f>
        <v>69.33333333333333</v>
      </c>
      <c r="K18" s="104">
        <f t="shared" si="0"/>
        <v>5475941.379583761</v>
      </c>
      <c r="L18" s="105">
        <f t="shared" si="1"/>
        <v>0.029464851171702316</v>
      </c>
      <c r="M18" s="106">
        <f t="shared" si="2"/>
        <v>78.69589569512397</v>
      </c>
      <c r="N18" s="107">
        <f t="shared" si="3"/>
        <v>5456.248768195262</v>
      </c>
    </row>
    <row r="19" spans="2:14" ht="15" thickBot="1">
      <c r="B19" s="74" t="s">
        <v>108</v>
      </c>
      <c r="C19" s="138">
        <f>C17*C14</f>
        <v>0.156</v>
      </c>
      <c r="E19" s="75" t="s">
        <v>139</v>
      </c>
      <c r="F19" s="139">
        <f>IF(F5&gt;2.5,2,IF(F5=2.5,2,IF(F5&lt;0.5,1,IF(F5=0.5,1,IF(F5&lt;2.5,(((F5-0.5)/2)+1),error)))))</f>
        <v>1.625</v>
      </c>
      <c r="H19" s="73">
        <v>4</v>
      </c>
      <c r="I19" s="123">
        <f t="shared" si="4"/>
        <v>5582.17</v>
      </c>
      <c r="J19" s="9">
        <f>Wind!R41</f>
        <v>59.666666666666664</v>
      </c>
      <c r="K19" s="104">
        <f t="shared" si="0"/>
        <v>4289110.102501177</v>
      </c>
      <c r="L19" s="105">
        <f t="shared" si="1"/>
        <v>0.023078769853239065</v>
      </c>
      <c r="M19" s="106">
        <f t="shared" si="2"/>
        <v>61.63969587216288</v>
      </c>
      <c r="N19" s="107">
        <f t="shared" si="3"/>
        <v>3677.835187039052</v>
      </c>
    </row>
    <row r="20" spans="5:14" ht="12.75">
      <c r="E20" s="2"/>
      <c r="F20" s="2"/>
      <c r="H20" s="73">
        <v>3</v>
      </c>
      <c r="I20" s="123">
        <f t="shared" si="4"/>
        <v>5582.17</v>
      </c>
      <c r="J20" s="9">
        <f>Wind!R42</f>
        <v>50</v>
      </c>
      <c r="K20" s="104">
        <f t="shared" si="0"/>
        <v>3218320.6766530126</v>
      </c>
      <c r="L20" s="105">
        <f t="shared" si="1"/>
        <v>0.017317084531610044</v>
      </c>
      <c r="M20" s="106">
        <f t="shared" si="2"/>
        <v>46.25115769639554</v>
      </c>
      <c r="N20" s="107">
        <f t="shared" si="3"/>
        <v>2312.557884819777</v>
      </c>
    </row>
    <row r="21" spans="5:14" ht="12.75">
      <c r="E21" s="2"/>
      <c r="F21" s="2"/>
      <c r="H21" s="73">
        <v>2</v>
      </c>
      <c r="I21" s="123">
        <f t="shared" si="4"/>
        <v>5582.17</v>
      </c>
      <c r="J21" s="9">
        <f>Wind!R43</f>
        <v>40.33333333333333</v>
      </c>
      <c r="K21" s="104">
        <f t="shared" si="0"/>
        <v>2269902.725134151</v>
      </c>
      <c r="L21" s="105">
        <f t="shared" si="1"/>
        <v>0.0122138535338746</v>
      </c>
      <c r="M21" s="106">
        <f t="shared" si="2"/>
        <v>32.62124550150188</v>
      </c>
      <c r="N21" s="107">
        <f t="shared" si="3"/>
        <v>1315.7235685605758</v>
      </c>
    </row>
    <row r="22" spans="5:14" ht="13.5" thickBot="1">
      <c r="E22" s="2"/>
      <c r="F22" s="2"/>
      <c r="H22" s="126">
        <v>1</v>
      </c>
      <c r="I22" s="124">
        <f t="shared" si="4"/>
        <v>5770.49</v>
      </c>
      <c r="J22" s="108">
        <f>Wind!R44</f>
        <v>16</v>
      </c>
      <c r="K22" s="109">
        <f t="shared" si="0"/>
        <v>522285.1340504524</v>
      </c>
      <c r="L22" s="110">
        <f t="shared" si="1"/>
        <v>0.0028103028643376255</v>
      </c>
      <c r="M22" s="111">
        <f t="shared" si="2"/>
        <v>7.505868595597068</v>
      </c>
      <c r="N22" s="112">
        <f t="shared" si="3"/>
        <v>120.09389752955309</v>
      </c>
    </row>
    <row r="23" spans="8:14" ht="13.5" thickBot="1">
      <c r="H23" s="127" t="s">
        <v>141</v>
      </c>
      <c r="I23" s="125">
        <f>SUM(I6:I22)</f>
        <v>89884.02999999998</v>
      </c>
      <c r="J23" s="45"/>
      <c r="K23" s="113">
        <f>SUM(K6:K22)</f>
        <v>185846565.0368799</v>
      </c>
      <c r="L23" s="114">
        <f>SUM(L6:L22)</f>
        <v>1</v>
      </c>
      <c r="M23" s="115">
        <f>SUM(M6:M22)</f>
        <v>2670.839748571428</v>
      </c>
      <c r="N23" s="116">
        <f>SUM(N6:N22)</f>
        <v>355952.48967859196</v>
      </c>
    </row>
    <row r="24" ht="12.75">
      <c r="M24">
        <v>2252</v>
      </c>
    </row>
  </sheetData>
  <mergeCells count="6">
    <mergeCell ref="E18:F18"/>
    <mergeCell ref="H4:J4"/>
    <mergeCell ref="B2:E2"/>
    <mergeCell ref="B4:C4"/>
    <mergeCell ref="E8:F8"/>
    <mergeCell ref="E4:F4"/>
  </mergeCells>
  <dataValidations count="2">
    <dataValidation type="list" allowBlank="1" showInputMessage="1" showErrorMessage="1" sqref="C12">
      <formula1>"A,B,C,D,E,F"</formula1>
    </dataValidation>
    <dataValidation type="list" allowBlank="1" showInputMessage="1" showErrorMessage="1" sqref="C10">
      <formula1>"I,II,III"</formula1>
    </dataValidation>
  </dataValidations>
  <printOptions/>
  <pageMargins left="0.75" right="0.75" top="1" bottom="1" header="0.5" footer="0.5"/>
  <pageSetup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5"/>
  <sheetViews>
    <sheetView workbookViewId="0" topLeftCell="A4">
      <selection activeCell="E31" sqref="E31"/>
    </sheetView>
  </sheetViews>
  <sheetFormatPr defaultColWidth="9.140625" defaultRowHeight="12.75"/>
  <cols>
    <col min="1" max="1" width="2.57421875" style="0" customWidth="1"/>
    <col min="2" max="2" width="18.140625" style="0" bestFit="1" customWidth="1"/>
    <col min="3" max="6" width="10.140625" style="0" bestFit="1" customWidth="1"/>
  </cols>
  <sheetData>
    <row r="1" ht="13.5" thickBot="1"/>
    <row r="2" spans="2:6" ht="19.5" thickBot="1">
      <c r="B2" s="257" t="s">
        <v>165</v>
      </c>
      <c r="C2" s="258"/>
      <c r="D2" s="258"/>
      <c r="E2" s="258"/>
      <c r="F2" s="259"/>
    </row>
    <row r="3" ht="4.5" customHeight="1" thickBot="1"/>
    <row r="4" spans="2:6" ht="13.5" thickBot="1">
      <c r="B4" s="2"/>
      <c r="C4" s="169" t="s">
        <v>184</v>
      </c>
      <c r="D4" s="214" t="s">
        <v>185</v>
      </c>
      <c r="E4" s="170" t="s">
        <v>166</v>
      </c>
      <c r="F4" s="174" t="s">
        <v>167</v>
      </c>
    </row>
    <row r="5" spans="2:6" ht="12.75">
      <c r="B5" s="171" t="s">
        <v>148</v>
      </c>
      <c r="C5" s="175">
        <f>'(formula_data)'!G70</f>
        <v>52.66218347800149</v>
      </c>
      <c r="D5" s="306">
        <f>'(formula_data)'!G92</f>
        <v>44.677396541563155</v>
      </c>
      <c r="E5" s="176">
        <f>Seismic!M6</f>
        <v>26.973532733233117</v>
      </c>
      <c r="F5" s="177">
        <f>MAX(C5,D5)+E5</f>
        <v>79.63571621123461</v>
      </c>
    </row>
    <row r="6" spans="2:6" ht="12.75">
      <c r="B6" s="172" t="s">
        <v>149</v>
      </c>
      <c r="C6" s="178">
        <f>'(formula_data)'!G69</f>
        <v>104.36042786196428</v>
      </c>
      <c r="D6" s="307">
        <f>'(formula_data)'!G91</f>
        <v>88.40473119714571</v>
      </c>
      <c r="E6" s="179">
        <f>Seismic!M7</f>
        <v>358.30632460142914</v>
      </c>
      <c r="F6" s="180">
        <f>MAX(C6,D6)+E6</f>
        <v>462.66675246339344</v>
      </c>
    </row>
    <row r="7" spans="2:6" ht="12.75">
      <c r="B7" s="172" t="s">
        <v>150</v>
      </c>
      <c r="C7" s="178">
        <f>'(formula_data)'!G68</f>
        <v>128.16864635580788</v>
      </c>
      <c r="D7" s="307">
        <f>'(formula_data)'!G90</f>
        <v>108.5579865448385</v>
      </c>
      <c r="E7" s="179">
        <f>Seismic!M8</f>
        <v>332.31563589422643</v>
      </c>
      <c r="F7" s="180">
        <f aca="true" t="shared" si="0" ref="F7:F24">MAX(C7,D7)+E7</f>
        <v>460.4842822500343</v>
      </c>
    </row>
    <row r="8" spans="2:6" ht="12.75">
      <c r="B8" s="172" t="s">
        <v>151</v>
      </c>
      <c r="C8" s="178">
        <f>'(formula_data)'!G67</f>
        <v>124.62341346545809</v>
      </c>
      <c r="D8" s="307">
        <f>'(formula_data)'!G89</f>
        <v>105.36490222752784</v>
      </c>
      <c r="E8" s="179">
        <f>Seismic!M9</f>
        <v>298.28170446622084</v>
      </c>
      <c r="F8" s="180">
        <f t="shared" si="0"/>
        <v>422.90511793167894</v>
      </c>
    </row>
    <row r="9" spans="2:6" ht="12.75">
      <c r="B9" s="172" t="s">
        <v>152</v>
      </c>
      <c r="C9" s="178">
        <f>'(formula_data)'!G66</f>
        <v>124.30210043411185</v>
      </c>
      <c r="D9" s="307">
        <f>'(formula_data)'!G88</f>
        <v>105.04821493220098</v>
      </c>
      <c r="E9" s="179">
        <f>Seismic!M10</f>
        <v>267.78453958406607</v>
      </c>
      <c r="F9" s="180">
        <f t="shared" si="0"/>
        <v>392.08664001817795</v>
      </c>
    </row>
    <row r="10" spans="2:6" ht="12.75">
      <c r="B10" s="172" t="s">
        <v>153</v>
      </c>
      <c r="C10" s="178">
        <f>'(formula_data)'!G65</f>
        <v>123.36006904675591</v>
      </c>
      <c r="D10" s="307">
        <f>'(formula_data)'!G87</f>
        <v>104.1197453618109</v>
      </c>
      <c r="E10" s="179">
        <f>Seismic!M11</f>
        <v>239.8242780966176</v>
      </c>
      <c r="F10" s="180">
        <f t="shared" si="0"/>
        <v>363.18434714337354</v>
      </c>
    </row>
    <row r="11" spans="2:6" ht="12.75">
      <c r="B11" s="172" t="s">
        <v>154</v>
      </c>
      <c r="C11" s="178">
        <f>'(formula_data)'!G64</f>
        <v>123.03145344651543</v>
      </c>
      <c r="D11" s="307">
        <f>'(formula_data)'!G86</f>
        <v>103.79586062795389</v>
      </c>
      <c r="E11" s="179">
        <f>Seismic!M12</f>
        <v>213.06521444826217</v>
      </c>
      <c r="F11" s="180">
        <f t="shared" si="0"/>
        <v>336.0966678947776</v>
      </c>
    </row>
    <row r="12" spans="2:6" ht="12.75">
      <c r="B12" s="172" t="s">
        <v>155</v>
      </c>
      <c r="C12" s="178">
        <f>'(formula_data)'!G63</f>
        <v>121.60745251214011</v>
      </c>
      <c r="D12" s="307">
        <f>'(formula_data)'!G85</f>
        <v>102.39236011457349</v>
      </c>
      <c r="E12" s="179">
        <f>Seismic!M13</f>
        <v>187.540636496505</v>
      </c>
      <c r="F12" s="180">
        <f t="shared" si="0"/>
        <v>309.1480890086451</v>
      </c>
    </row>
    <row r="13" spans="2:6" ht="12.75">
      <c r="B13" s="172" t="s">
        <v>156</v>
      </c>
      <c r="C13" s="178">
        <f>'(formula_data)'!G62</f>
        <v>120.91370846718803</v>
      </c>
      <c r="D13" s="307">
        <f>'(formula_data)'!G84</f>
        <v>101.70860345420867</v>
      </c>
      <c r="E13" s="179">
        <f>Seismic!M14</f>
        <v>163.28748953659888</v>
      </c>
      <c r="F13" s="180">
        <f t="shared" si="0"/>
        <v>284.2011980037869</v>
      </c>
    </row>
    <row r="14" spans="2:6" ht="12.75">
      <c r="B14" s="172" t="s">
        <v>157</v>
      </c>
      <c r="C14" s="178">
        <f>'(formula_data)'!G61</f>
        <v>119.63575891069736</v>
      </c>
      <c r="D14" s="307">
        <f>'(formula_data)'!G83</f>
        <v>100.4490517114314</v>
      </c>
      <c r="E14" s="179">
        <f>Seismic!M15</f>
        <v>140.3471319431819</v>
      </c>
      <c r="F14" s="180">
        <f t="shared" si="0"/>
        <v>259.98289085387927</v>
      </c>
    </row>
    <row r="15" spans="2:6" ht="12.75">
      <c r="B15" s="172" t="s">
        <v>158</v>
      </c>
      <c r="C15" s="178">
        <f>'(formula_data)'!G60</f>
        <v>121.61859577586216</v>
      </c>
      <c r="D15" s="307">
        <f>'(formula_data)'!G82</f>
        <v>101.91403896752178</v>
      </c>
      <c r="E15" s="179">
        <f>Seismic!M16</f>
        <v>118.76633428657449</v>
      </c>
      <c r="F15" s="180">
        <f t="shared" si="0"/>
        <v>240.38493006243664</v>
      </c>
    </row>
    <row r="16" spans="2:6" ht="12.75">
      <c r="B16" s="172" t="s">
        <v>159</v>
      </c>
      <c r="C16" s="178">
        <f>'(formula_data)'!G59</f>
        <v>121.2575134107285</v>
      </c>
      <c r="D16" s="307">
        <f>'(formula_data)'!G81</f>
        <v>101.44523856678218</v>
      </c>
      <c r="E16" s="179">
        <f>Seismic!M17</f>
        <v>97.63306312373085</v>
      </c>
      <c r="F16" s="180">
        <f t="shared" si="0"/>
        <v>218.89057653445934</v>
      </c>
    </row>
    <row r="17" spans="2:6" ht="12.75">
      <c r="B17" s="172" t="s">
        <v>160</v>
      </c>
      <c r="C17" s="178">
        <f>'(formula_data)'!G58</f>
        <v>116.46866444795485</v>
      </c>
      <c r="D17" s="307">
        <f>'(formula_data)'!G80</f>
        <v>97.21463555547939</v>
      </c>
      <c r="E17" s="179">
        <f>Seismic!M18</f>
        <v>78.69589569512397</v>
      </c>
      <c r="F17" s="180">
        <f t="shared" si="0"/>
        <v>195.1645601430788</v>
      </c>
    </row>
    <row r="18" spans="2:6" ht="12.75">
      <c r="B18" s="172" t="s">
        <v>161</v>
      </c>
      <c r="C18" s="178">
        <f>'(formula_data)'!G57</f>
        <v>114.07850398218643</v>
      </c>
      <c r="D18" s="307">
        <f>'(formula_data)'!G79</f>
        <v>94.97180098998274</v>
      </c>
      <c r="E18" s="179">
        <f>Seismic!M19</f>
        <v>61.63969587216288</v>
      </c>
      <c r="F18" s="180">
        <f t="shared" si="0"/>
        <v>175.7181998543493</v>
      </c>
    </row>
    <row r="19" spans="2:6" ht="12.75">
      <c r="B19" s="172" t="s">
        <v>162</v>
      </c>
      <c r="C19" s="178">
        <f>'(formula_data)'!G56</f>
        <v>112.44272854987838</v>
      </c>
      <c r="D19" s="307">
        <f>'(formula_data)'!G78</f>
        <v>93.35957475922784</v>
      </c>
      <c r="E19" s="179">
        <f>Seismic!M20</f>
        <v>46.25115769639554</v>
      </c>
      <c r="F19" s="180">
        <f t="shared" si="0"/>
        <v>158.6938862462739</v>
      </c>
    </row>
    <row r="20" spans="2:6" ht="12.75">
      <c r="B20" s="172" t="s">
        <v>163</v>
      </c>
      <c r="C20" s="178">
        <f>'(formula_data)'!G55</f>
        <v>197.02812846186148</v>
      </c>
      <c r="D20" s="307">
        <f>'(formula_data)'!G77</f>
        <v>162.8761865948715</v>
      </c>
      <c r="E20" s="179">
        <f>Seismic!M21</f>
        <v>32.62124550150188</v>
      </c>
      <c r="F20" s="180">
        <f t="shared" si="0"/>
        <v>229.64937396336336</v>
      </c>
    </row>
    <row r="21" spans="2:6" ht="12.75">
      <c r="B21" s="172" t="s">
        <v>164</v>
      </c>
      <c r="C21" s="178">
        <f>'(formula_data)'!G54</f>
        <v>216.25665041222052</v>
      </c>
      <c r="D21" s="307">
        <f>'(formula_data)'!G76</f>
        <v>176.70901544967626</v>
      </c>
      <c r="E21" s="179">
        <f>Seismic!M22</f>
        <v>7.505868595597068</v>
      </c>
      <c r="F21" s="180">
        <f t="shared" si="0"/>
        <v>223.7625190078176</v>
      </c>
    </row>
    <row r="22" spans="2:6" ht="12.75">
      <c r="B22" s="172" t="s">
        <v>175</v>
      </c>
      <c r="C22" s="178">
        <f>'(formula_data)'!G53</f>
        <v>83.94244523369036</v>
      </c>
      <c r="D22" s="307">
        <f>'(formula_data)'!G75</f>
        <v>68.28069306682987</v>
      </c>
      <c r="E22" s="226"/>
      <c r="F22" s="180">
        <f t="shared" si="0"/>
        <v>83.94244523369036</v>
      </c>
    </row>
    <row r="23" spans="2:6" ht="12.75">
      <c r="B23" s="172" t="s">
        <v>99</v>
      </c>
      <c r="C23" s="178">
        <f>SUM(C5:C22)</f>
        <v>2225.758444253023</v>
      </c>
      <c r="D23" s="307">
        <f>'(formula_data)'!G93</f>
        <v>1861.2900366636263</v>
      </c>
      <c r="E23" s="179">
        <f>Seismic!M23</f>
        <v>2670.839748571428</v>
      </c>
      <c r="F23" s="180">
        <f t="shared" si="0"/>
        <v>4896.598192824451</v>
      </c>
    </row>
    <row r="24" spans="2:6" ht="13.5" thickBot="1">
      <c r="B24" s="173" t="s">
        <v>100</v>
      </c>
      <c r="C24" s="181">
        <f>'(formula_data)'!H71</f>
        <v>212133.48054003515</v>
      </c>
      <c r="D24" s="308">
        <f>'(formula_data)'!H93</f>
        <v>178533.71421809445</v>
      </c>
      <c r="E24" s="182">
        <f>Seismic!N23</f>
        <v>355952.48967859196</v>
      </c>
      <c r="F24" s="180">
        <f t="shared" si="0"/>
        <v>568085.9702186271</v>
      </c>
    </row>
    <row r="25" spans="2:6" ht="13.5" thickBot="1">
      <c r="B25" s="274" t="s">
        <v>168</v>
      </c>
      <c r="C25" s="275"/>
      <c r="D25" s="275"/>
      <c r="E25" s="275"/>
      <c r="F25" s="276"/>
    </row>
  </sheetData>
  <mergeCells count="2">
    <mergeCell ref="B2:F2"/>
    <mergeCell ref="B25:F2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93"/>
  <sheetViews>
    <sheetView workbookViewId="0" topLeftCell="A54">
      <selection activeCell="L84" sqref="L84"/>
    </sheetView>
  </sheetViews>
  <sheetFormatPr defaultColWidth="9.140625" defaultRowHeight="12.75"/>
  <cols>
    <col min="2" max="2" width="12.421875" style="0" bestFit="1" customWidth="1"/>
    <col min="3" max="3" width="12.28125" style="0" bestFit="1" customWidth="1"/>
    <col min="4" max="4" width="7.00390625" style="0" bestFit="1" customWidth="1"/>
    <col min="5" max="5" width="6.00390625" style="0" bestFit="1" customWidth="1"/>
    <col min="6" max="6" width="6.57421875" style="0" bestFit="1" customWidth="1"/>
    <col min="7" max="7" width="8.140625" style="0" bestFit="1" customWidth="1"/>
    <col min="8" max="8" width="10.14062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30" width="5.00390625" style="0" bestFit="1" customWidth="1"/>
  </cols>
  <sheetData>
    <row r="1" spans="1:54" ht="13.5" thickBot="1">
      <c r="A1" s="10"/>
      <c r="B1" s="282" t="s">
        <v>19</v>
      </c>
      <c r="C1" s="284"/>
      <c r="D1" s="284"/>
      <c r="E1" s="284"/>
      <c r="F1" s="284"/>
      <c r="G1" s="284"/>
      <c r="H1" s="285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ht="15" thickBot="1">
      <c r="A2" s="10"/>
      <c r="B2" s="212"/>
      <c r="C2" s="213" t="s">
        <v>6</v>
      </c>
      <c r="D2" s="75" t="s">
        <v>13</v>
      </c>
      <c r="E2" s="214" t="s">
        <v>14</v>
      </c>
      <c r="F2" s="75" t="s">
        <v>8</v>
      </c>
      <c r="G2" s="214" t="s">
        <v>9</v>
      </c>
      <c r="H2" s="215" t="s">
        <v>10</v>
      </c>
      <c r="I2" s="216" t="s">
        <v>6</v>
      </c>
      <c r="J2" s="217" t="s">
        <v>50</v>
      </c>
      <c r="K2" s="218" t="s">
        <v>6</v>
      </c>
      <c r="L2" s="219" t="s">
        <v>50</v>
      </c>
      <c r="M2" s="3"/>
      <c r="N2" s="3"/>
      <c r="O2" s="3"/>
      <c r="P2" s="3"/>
      <c r="Q2" s="3"/>
      <c r="R2" s="3"/>
      <c r="S2" s="3"/>
      <c r="T2" s="3"/>
      <c r="U2" s="3"/>
      <c r="V2" s="10"/>
      <c r="W2" s="3"/>
      <c r="X2" s="3"/>
      <c r="Y2" s="3"/>
      <c r="Z2" s="3"/>
      <c r="AA2" s="3"/>
      <c r="AB2" s="3"/>
      <c r="AC2" s="3"/>
      <c r="AD2" s="3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ht="12.75">
      <c r="A3" s="10"/>
      <c r="B3" s="202" t="s">
        <v>1</v>
      </c>
      <c r="C3" s="32">
        <v>7</v>
      </c>
      <c r="D3" s="31">
        <v>1200</v>
      </c>
      <c r="E3" s="31">
        <v>30</v>
      </c>
      <c r="F3" s="31">
        <v>0.3</v>
      </c>
      <c r="G3" s="33">
        <f>1/3</f>
        <v>0.3333333333333333</v>
      </c>
      <c r="H3" s="40">
        <v>320</v>
      </c>
      <c r="I3" s="34">
        <f>1/4</f>
        <v>0.25</v>
      </c>
      <c r="J3" s="42">
        <v>0.45</v>
      </c>
      <c r="K3" s="222">
        <f>1/7</f>
        <v>0.14285714285714285</v>
      </c>
      <c r="L3" s="35">
        <v>0.84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ht="12.75">
      <c r="A4" s="10"/>
      <c r="B4" s="205" t="s">
        <v>5</v>
      </c>
      <c r="C4" s="6">
        <v>9.5</v>
      </c>
      <c r="D4" s="5">
        <v>900</v>
      </c>
      <c r="E4" s="5">
        <v>15</v>
      </c>
      <c r="F4" s="5">
        <v>0.2</v>
      </c>
      <c r="G4" s="7">
        <f>1/5</f>
        <v>0.2</v>
      </c>
      <c r="H4" s="14">
        <v>500</v>
      </c>
      <c r="I4" s="29">
        <f>1/6.5</f>
        <v>0.15384615384615385</v>
      </c>
      <c r="J4" s="30">
        <v>0.65</v>
      </c>
      <c r="K4" s="223">
        <f>1/9.5</f>
        <v>0.10526315789473684</v>
      </c>
      <c r="L4" s="36">
        <v>1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1:54" ht="13.5" thickBot="1">
      <c r="A5" s="10"/>
      <c r="B5" s="206" t="s">
        <v>7</v>
      </c>
      <c r="C5" s="37">
        <v>11.5</v>
      </c>
      <c r="D5" s="8">
        <v>700</v>
      </c>
      <c r="E5" s="8">
        <v>7</v>
      </c>
      <c r="F5" s="8">
        <v>0.15</v>
      </c>
      <c r="G5" s="13">
        <f>1/8</f>
        <v>0.125</v>
      </c>
      <c r="H5" s="41">
        <v>650</v>
      </c>
      <c r="I5" s="38">
        <v>0.1111111111111111</v>
      </c>
      <c r="J5" s="43">
        <v>0.8</v>
      </c>
      <c r="K5" s="224">
        <f>1/11.5</f>
        <v>0.08695652173913043</v>
      </c>
      <c r="L5" s="39">
        <v>1.07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ht="13.5" thickBot="1">
      <c r="A6" s="10"/>
      <c r="F6" s="10"/>
      <c r="G6" s="10"/>
      <c r="H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8" ht="13.5" thickBot="1">
      <c r="A7" s="10"/>
      <c r="B7" s="282" t="s">
        <v>29</v>
      </c>
      <c r="C7" s="285"/>
      <c r="D7" s="18"/>
      <c r="F7" s="61"/>
      <c r="G7" s="57"/>
      <c r="H7" s="57"/>
    </row>
    <row r="8" spans="1:8" ht="16.5" thickBot="1">
      <c r="A8" s="3"/>
      <c r="B8" s="200" t="s">
        <v>31</v>
      </c>
      <c r="C8" s="198" t="s">
        <v>30</v>
      </c>
      <c r="D8" s="204" t="s">
        <v>22</v>
      </c>
      <c r="F8" s="62"/>
      <c r="G8" s="63"/>
      <c r="H8" s="17"/>
    </row>
    <row r="9" spans="1:8" ht="12.75">
      <c r="A9" s="3"/>
      <c r="B9" s="25" t="s">
        <v>25</v>
      </c>
      <c r="C9" s="11">
        <v>0.028</v>
      </c>
      <c r="D9" s="4">
        <v>0.8</v>
      </c>
      <c r="E9" s="10"/>
      <c r="F9" s="62"/>
      <c r="G9" s="63"/>
      <c r="H9" s="58"/>
    </row>
    <row r="10" spans="2:8" ht="12.75">
      <c r="B10" s="11" t="s">
        <v>26</v>
      </c>
      <c r="C10" s="11">
        <v>0.016</v>
      </c>
      <c r="D10" s="4">
        <v>0.9</v>
      </c>
      <c r="F10" s="62"/>
      <c r="G10" s="63"/>
      <c r="H10" s="57"/>
    </row>
    <row r="11" spans="2:8" ht="12.75">
      <c r="B11" s="26" t="s">
        <v>28</v>
      </c>
      <c r="C11" s="11">
        <v>0.03</v>
      </c>
      <c r="D11" s="4">
        <v>0.75</v>
      </c>
      <c r="F11" s="10"/>
      <c r="G11" s="10"/>
      <c r="H11" s="10"/>
    </row>
    <row r="12" spans="2:4" ht="13.5" thickBot="1">
      <c r="B12" s="27" t="s">
        <v>27</v>
      </c>
      <c r="C12" s="12">
        <v>0.02</v>
      </c>
      <c r="D12" s="28">
        <v>0.75</v>
      </c>
    </row>
    <row r="13" spans="2:4" ht="13.5" thickBot="1">
      <c r="B13" s="24"/>
      <c r="C13" s="3"/>
      <c r="D13" s="3"/>
    </row>
    <row r="14" spans="2:7" ht="13.5" thickBot="1">
      <c r="B14" s="286" t="s">
        <v>51</v>
      </c>
      <c r="C14" s="287"/>
      <c r="D14" s="287"/>
      <c r="E14" s="287"/>
      <c r="F14" s="287"/>
      <c r="G14" s="288"/>
    </row>
    <row r="15" spans="1:24" ht="13.5" thickBot="1">
      <c r="A15" s="1"/>
      <c r="C15" s="207" t="s">
        <v>3</v>
      </c>
      <c r="D15" s="208">
        <v>20</v>
      </c>
      <c r="E15" s="208">
        <v>25</v>
      </c>
      <c r="F15" s="208">
        <v>30</v>
      </c>
      <c r="G15" s="209">
        <v>40</v>
      </c>
      <c r="H15" s="210">
        <v>50</v>
      </c>
      <c r="I15" s="210">
        <v>60</v>
      </c>
      <c r="J15" s="210">
        <v>70</v>
      </c>
      <c r="K15" s="210">
        <v>80</v>
      </c>
      <c r="L15" s="210">
        <v>90</v>
      </c>
      <c r="M15" s="210">
        <v>100</v>
      </c>
      <c r="N15" s="210">
        <v>120</v>
      </c>
      <c r="O15" s="210">
        <v>140</v>
      </c>
      <c r="P15" s="211">
        <v>160</v>
      </c>
      <c r="Q15" s="210">
        <v>180</v>
      </c>
      <c r="R15" s="210">
        <v>200</v>
      </c>
      <c r="S15" s="210">
        <v>250</v>
      </c>
      <c r="T15" s="210">
        <v>300</v>
      </c>
      <c r="U15" s="210">
        <v>350</v>
      </c>
      <c r="V15" s="210">
        <v>400</v>
      </c>
      <c r="W15" s="210">
        <v>450</v>
      </c>
      <c r="X15" s="204">
        <v>500</v>
      </c>
    </row>
    <row r="16" spans="1:24" ht="12.75">
      <c r="A16" s="1"/>
      <c r="B16" s="202" t="s">
        <v>1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</row>
    <row r="17" spans="2:24" s="1" customFormat="1" ht="12.75">
      <c r="B17" s="205" t="s">
        <v>5</v>
      </c>
      <c r="C17" s="19">
        <v>0.85</v>
      </c>
      <c r="D17" s="17">
        <v>0.9</v>
      </c>
      <c r="E17" s="17">
        <v>0.94</v>
      </c>
      <c r="F17" s="17">
        <v>0.98</v>
      </c>
      <c r="G17" s="17">
        <v>1.04</v>
      </c>
      <c r="H17" s="17">
        <v>1.09</v>
      </c>
      <c r="I17" s="17">
        <v>1.13</v>
      </c>
      <c r="J17" s="17">
        <v>1.17</v>
      </c>
      <c r="K17" s="17">
        <v>1.21</v>
      </c>
      <c r="L17" s="17">
        <v>1.24</v>
      </c>
      <c r="M17" s="17">
        <v>1.26</v>
      </c>
      <c r="N17" s="17">
        <v>1.31</v>
      </c>
      <c r="O17" s="17">
        <v>1.36</v>
      </c>
      <c r="P17" s="17">
        <v>1.39</v>
      </c>
      <c r="Q17" s="17">
        <v>1.43</v>
      </c>
      <c r="R17" s="17">
        <v>1.46</v>
      </c>
      <c r="S17" s="17">
        <v>1.53</v>
      </c>
      <c r="T17" s="17">
        <v>1.59</v>
      </c>
      <c r="U17" s="17">
        <v>1.64</v>
      </c>
      <c r="V17" s="17">
        <v>1.69</v>
      </c>
      <c r="W17" s="17">
        <v>1.73</v>
      </c>
      <c r="X17" s="20">
        <v>1.77</v>
      </c>
    </row>
    <row r="18" spans="2:24" s="1" customFormat="1" ht="13.5" thickBot="1">
      <c r="B18" s="206" t="s">
        <v>7</v>
      </c>
      <c r="C18" s="37">
        <v>1.03</v>
      </c>
      <c r="D18" s="8">
        <v>1.08</v>
      </c>
      <c r="E18" s="8">
        <v>1.12</v>
      </c>
      <c r="F18" s="8">
        <v>1.16</v>
      </c>
      <c r="G18" s="8">
        <v>1.22</v>
      </c>
      <c r="H18" s="8">
        <v>1.27</v>
      </c>
      <c r="I18" s="8">
        <v>1.31</v>
      </c>
      <c r="J18" s="8">
        <v>1.34</v>
      </c>
      <c r="K18" s="8">
        <v>1.38</v>
      </c>
      <c r="L18" s="8">
        <v>1.4</v>
      </c>
      <c r="M18" s="8">
        <v>1.43</v>
      </c>
      <c r="N18" s="8">
        <v>1.48</v>
      </c>
      <c r="O18" s="8">
        <v>1.52</v>
      </c>
      <c r="P18" s="8">
        <v>1.55</v>
      </c>
      <c r="Q18" s="8">
        <v>1.58</v>
      </c>
      <c r="R18" s="8">
        <v>1.61</v>
      </c>
      <c r="S18" s="8">
        <v>1.68</v>
      </c>
      <c r="T18" s="8">
        <v>1.73</v>
      </c>
      <c r="U18" s="8">
        <v>1.78</v>
      </c>
      <c r="V18" s="8">
        <v>1.82</v>
      </c>
      <c r="W18" s="8">
        <v>1.86</v>
      </c>
      <c r="X18" s="60">
        <v>1.89</v>
      </c>
    </row>
    <row r="21" ht="13.5" thickBot="1"/>
    <row r="22" spans="2:3" ht="16.5" thickBot="1">
      <c r="B22" s="282" t="s">
        <v>74</v>
      </c>
      <c r="C22" s="283"/>
    </row>
    <row r="23" spans="2:3" ht="12.75">
      <c r="B23" s="201" t="s">
        <v>71</v>
      </c>
      <c r="C23" s="96">
        <v>0</v>
      </c>
    </row>
    <row r="24" spans="2:3" ht="12.75">
      <c r="B24" s="191" t="s">
        <v>72</v>
      </c>
      <c r="C24" s="199">
        <v>0.18</v>
      </c>
    </row>
    <row r="25" spans="2:3" ht="13.5" thickBot="1">
      <c r="B25" s="192" t="s">
        <v>75</v>
      </c>
      <c r="C25" s="98">
        <v>0.55</v>
      </c>
    </row>
    <row r="27" ht="13.5" thickBot="1"/>
    <row r="28" spans="2:3" ht="13.5" thickBot="1">
      <c r="B28" s="185" t="s">
        <v>112</v>
      </c>
      <c r="C28" s="189" t="s">
        <v>113</v>
      </c>
    </row>
    <row r="29" spans="2:3" ht="12.75">
      <c r="B29" s="190" t="s">
        <v>114</v>
      </c>
      <c r="C29" s="188">
        <v>1</v>
      </c>
    </row>
    <row r="30" spans="2:3" ht="12.75">
      <c r="B30" s="191" t="s">
        <v>115</v>
      </c>
      <c r="C30" s="97">
        <v>1.25</v>
      </c>
    </row>
    <row r="31" spans="2:3" ht="13.5" thickBot="1">
      <c r="B31" s="192" t="s">
        <v>18</v>
      </c>
      <c r="C31" s="98">
        <v>1.5</v>
      </c>
    </row>
    <row r="32" ht="13.5" thickBot="1"/>
    <row r="33" spans="2:7" ht="16.5" thickBot="1">
      <c r="B33" s="185" t="s">
        <v>118</v>
      </c>
      <c r="C33" s="277" t="s">
        <v>122</v>
      </c>
      <c r="D33" s="277"/>
      <c r="E33" s="277"/>
      <c r="F33" s="277"/>
      <c r="G33" s="278"/>
    </row>
    <row r="34" spans="2:7" ht="13.5" thickBot="1">
      <c r="B34" s="164"/>
      <c r="C34" s="198">
        <v>0.25</v>
      </c>
      <c r="D34" s="196">
        <v>0.5</v>
      </c>
      <c r="E34" s="100">
        <v>0.75</v>
      </c>
      <c r="F34" s="100">
        <v>0.1</v>
      </c>
      <c r="G34" s="187">
        <v>1.25</v>
      </c>
    </row>
    <row r="35" spans="2:7" ht="12.75">
      <c r="B35" s="193" t="s">
        <v>119</v>
      </c>
      <c r="C35" s="197">
        <v>0.8</v>
      </c>
      <c r="D35" s="94">
        <v>0.8</v>
      </c>
      <c r="E35" s="94">
        <v>0.8</v>
      </c>
      <c r="F35" s="94">
        <v>0.8</v>
      </c>
      <c r="G35" s="165">
        <v>0.8</v>
      </c>
    </row>
    <row r="36" spans="2:7" ht="12.75">
      <c r="B36" s="194" t="s">
        <v>1</v>
      </c>
      <c r="C36" s="167">
        <v>1</v>
      </c>
      <c r="D36" s="94">
        <v>1</v>
      </c>
      <c r="E36" s="94">
        <v>1</v>
      </c>
      <c r="F36" s="94">
        <v>1</v>
      </c>
      <c r="G36" s="165">
        <v>1</v>
      </c>
    </row>
    <row r="37" spans="2:7" ht="12.75">
      <c r="B37" s="194" t="s">
        <v>5</v>
      </c>
      <c r="C37" s="167">
        <v>1.2</v>
      </c>
      <c r="D37" s="94">
        <v>1.2</v>
      </c>
      <c r="E37" s="94">
        <v>1.1</v>
      </c>
      <c r="F37" s="94">
        <v>1</v>
      </c>
      <c r="G37" s="165">
        <v>1</v>
      </c>
    </row>
    <row r="38" spans="2:7" ht="12.75">
      <c r="B38" s="194" t="s">
        <v>7</v>
      </c>
      <c r="C38" s="167">
        <v>1.6</v>
      </c>
      <c r="D38" s="94">
        <v>1.4</v>
      </c>
      <c r="E38" s="94">
        <v>1.2</v>
      </c>
      <c r="F38" s="94">
        <v>1.1</v>
      </c>
      <c r="G38" s="165">
        <v>1</v>
      </c>
    </row>
    <row r="39" spans="2:7" ht="12.75">
      <c r="B39" s="194" t="s">
        <v>120</v>
      </c>
      <c r="C39" s="167">
        <v>2.5</v>
      </c>
      <c r="D39" s="94">
        <v>1.7</v>
      </c>
      <c r="E39" s="94">
        <v>1.2</v>
      </c>
      <c r="F39" s="94">
        <v>0.9</v>
      </c>
      <c r="G39" s="165">
        <v>0.9</v>
      </c>
    </row>
    <row r="40" spans="2:7" ht="13.5" thickBot="1">
      <c r="B40" s="195" t="s">
        <v>121</v>
      </c>
      <c r="C40" s="168">
        <v>10</v>
      </c>
      <c r="D40" s="166">
        <v>10</v>
      </c>
      <c r="E40" s="166">
        <v>10</v>
      </c>
      <c r="F40" s="166">
        <v>10</v>
      </c>
      <c r="G40" s="102">
        <v>10</v>
      </c>
    </row>
    <row r="41" ht="13.5" thickBot="1"/>
    <row r="42" spans="2:7" ht="16.5" thickBot="1">
      <c r="B42" s="185" t="s">
        <v>123</v>
      </c>
      <c r="C42" s="277" t="s">
        <v>124</v>
      </c>
      <c r="D42" s="277"/>
      <c r="E42" s="277"/>
      <c r="F42" s="277"/>
      <c r="G42" s="278"/>
    </row>
    <row r="43" spans="2:7" ht="12.75">
      <c r="B43" s="186"/>
      <c r="C43" s="100">
        <v>0.1</v>
      </c>
      <c r="D43" s="100">
        <v>0.2</v>
      </c>
      <c r="E43" s="100">
        <v>0.3</v>
      </c>
      <c r="F43" s="100">
        <v>0.4</v>
      </c>
      <c r="G43" s="187">
        <v>0.5</v>
      </c>
    </row>
    <row r="44" spans="2:7" ht="12.75">
      <c r="B44" s="103" t="s">
        <v>119</v>
      </c>
      <c r="C44" s="94">
        <v>0.8</v>
      </c>
      <c r="D44" s="94">
        <v>0.8</v>
      </c>
      <c r="E44" s="94">
        <v>0.8</v>
      </c>
      <c r="F44" s="94">
        <v>0.8</v>
      </c>
      <c r="G44" s="165">
        <v>0.8</v>
      </c>
    </row>
    <row r="45" spans="2:7" ht="12.75">
      <c r="B45" s="103" t="s">
        <v>1</v>
      </c>
      <c r="C45" s="94">
        <v>1</v>
      </c>
      <c r="D45" s="94">
        <v>1</v>
      </c>
      <c r="E45" s="94">
        <v>1</v>
      </c>
      <c r="F45" s="94">
        <v>1</v>
      </c>
      <c r="G45" s="165">
        <v>1</v>
      </c>
    </row>
    <row r="46" spans="2:7" ht="12.75">
      <c r="B46" s="103" t="s">
        <v>5</v>
      </c>
      <c r="C46" s="94">
        <v>1.7</v>
      </c>
      <c r="D46" s="94">
        <v>1.6</v>
      </c>
      <c r="E46" s="94">
        <v>1.5</v>
      </c>
      <c r="F46" s="94">
        <v>1.4</v>
      </c>
      <c r="G46" s="165">
        <v>1.3</v>
      </c>
    </row>
    <row r="47" spans="2:7" ht="12.75">
      <c r="B47" s="103" t="s">
        <v>7</v>
      </c>
      <c r="C47" s="94">
        <v>2.4</v>
      </c>
      <c r="D47" s="94">
        <v>2</v>
      </c>
      <c r="E47" s="94">
        <v>1.8</v>
      </c>
      <c r="F47" s="94">
        <v>1.6</v>
      </c>
      <c r="G47" s="165">
        <v>1.5</v>
      </c>
    </row>
    <row r="48" spans="2:7" ht="12.75">
      <c r="B48" s="103" t="s">
        <v>120</v>
      </c>
      <c r="C48" s="94">
        <v>3.5</v>
      </c>
      <c r="D48" s="94">
        <v>3.2</v>
      </c>
      <c r="E48" s="94">
        <v>2.8</v>
      </c>
      <c r="F48" s="94">
        <v>2.4</v>
      </c>
      <c r="G48" s="165">
        <v>2.4</v>
      </c>
    </row>
    <row r="49" spans="2:7" ht="13.5" thickBot="1">
      <c r="B49" s="101" t="s">
        <v>121</v>
      </c>
      <c r="C49" s="166">
        <v>10</v>
      </c>
      <c r="D49" s="166">
        <v>10</v>
      </c>
      <c r="E49" s="166">
        <v>10</v>
      </c>
      <c r="F49" s="166">
        <v>10</v>
      </c>
      <c r="G49" s="102">
        <v>10</v>
      </c>
    </row>
    <row r="50" ht="13.5" thickBot="1"/>
    <row r="51" spans="2:4" ht="13.5" thickBot="1">
      <c r="B51" s="279" t="s">
        <v>169</v>
      </c>
      <c r="C51" s="280"/>
      <c r="D51" s="281"/>
    </row>
    <row r="52" spans="2:8" ht="13.5" thickBot="1">
      <c r="B52" s="220" t="s">
        <v>171</v>
      </c>
      <c r="C52" s="203" t="s">
        <v>172</v>
      </c>
      <c r="D52" s="198" t="s">
        <v>80</v>
      </c>
      <c r="E52" s="198" t="s">
        <v>173</v>
      </c>
      <c r="F52" s="210" t="s">
        <v>170</v>
      </c>
      <c r="G52" s="198" t="s">
        <v>177</v>
      </c>
      <c r="H52" s="198" t="s">
        <v>176</v>
      </c>
    </row>
    <row r="53" spans="2:8" ht="12.75">
      <c r="B53" s="100" t="s">
        <v>3</v>
      </c>
      <c r="C53" s="221">
        <f>Wind!U6</f>
        <v>33.73892493315529</v>
      </c>
      <c r="D53" s="225" t="s">
        <v>174</v>
      </c>
      <c r="E53" s="225"/>
      <c r="F53" s="232">
        <v>0</v>
      </c>
      <c r="G53" s="229">
        <f>(0.5*E54*311*C54)/1000</f>
        <v>83.94244523369036</v>
      </c>
      <c r="H53" s="227">
        <f>G53*F53</f>
        <v>0</v>
      </c>
    </row>
    <row r="54" spans="2:8" ht="12.75">
      <c r="B54" s="100" t="s">
        <v>3</v>
      </c>
      <c r="C54" s="221">
        <f>Wind!U6</f>
        <v>33.73892493315529</v>
      </c>
      <c r="D54" s="233">
        <v>1</v>
      </c>
      <c r="E54" s="221">
        <f>Wind!Q44</f>
        <v>16</v>
      </c>
      <c r="F54" s="234">
        <f>Wind!R44</f>
        <v>16</v>
      </c>
      <c r="G54" s="229">
        <f>(7*311*C54+1*311*C54+4*C55*311+311*5*C56+311*C57*(38/12))/1000</f>
        <v>216.25665041222052</v>
      </c>
      <c r="H54" s="230">
        <f aca="true" t="shared" si="0" ref="H54:H68">G54*F54</f>
        <v>3460.1064065955284</v>
      </c>
    </row>
    <row r="55" spans="2:8" ht="12.75">
      <c r="B55" s="95">
        <v>20</v>
      </c>
      <c r="C55" s="221">
        <f>Wind!U7</f>
        <v>34.44335280076614</v>
      </c>
      <c r="D55" s="235">
        <v>2</v>
      </c>
      <c r="E55" s="236">
        <f>Wind!Q43</f>
        <v>24.333333333333332</v>
      </c>
      <c r="F55" s="237">
        <f>Wind!R43</f>
        <v>40.33333333333333</v>
      </c>
      <c r="G55" s="230">
        <f>((22/12)*311*C57+C58*311*10+C59*311*(8/12)+(58/12)*311*C59)/1000</f>
        <v>197.02812846186148</v>
      </c>
      <c r="H55" s="230">
        <f t="shared" si="0"/>
        <v>7946.801181295079</v>
      </c>
    </row>
    <row r="56" spans="2:8" ht="12.75">
      <c r="B56" s="95">
        <v>25</v>
      </c>
      <c r="C56" s="221">
        <f>Wind!U8</f>
        <v>35.00689509485482</v>
      </c>
      <c r="D56" s="235">
        <v>3</v>
      </c>
      <c r="E56" s="236">
        <f>Wind!Q42</f>
        <v>9.666666666666666</v>
      </c>
      <c r="F56" s="238">
        <f>Wind!R42</f>
        <v>50</v>
      </c>
      <c r="G56" s="230">
        <f>((58/12)*311*C59+(58/12)*311*C60)/1000</f>
        <v>112.44272854987838</v>
      </c>
      <c r="H56" s="230">
        <f t="shared" si="0"/>
        <v>5622.136427493919</v>
      </c>
    </row>
    <row r="57" spans="2:8" ht="12.75">
      <c r="B57" s="95">
        <v>30</v>
      </c>
      <c r="C57" s="221">
        <f>Wind!U9</f>
        <v>35.570437388943496</v>
      </c>
      <c r="D57" s="235">
        <v>4</v>
      </c>
      <c r="E57" s="236">
        <f>Wind!Q41</f>
        <v>9.666666666666666</v>
      </c>
      <c r="F57" s="237">
        <f>Wind!R41</f>
        <v>59.666666666666664</v>
      </c>
      <c r="G57" s="230">
        <f>((1/3)*311*C60+311*C61*4.5+(58/12)*311*C60)/1000</f>
        <v>114.07850398218643</v>
      </c>
      <c r="H57" s="230">
        <f t="shared" si="0"/>
        <v>6806.684070937124</v>
      </c>
    </row>
    <row r="58" spans="2:8" ht="12.75">
      <c r="B58" s="95">
        <v>40</v>
      </c>
      <c r="C58" s="221">
        <f>Wind!U10</f>
        <v>36.41575083007651</v>
      </c>
      <c r="D58" s="235">
        <v>5</v>
      </c>
      <c r="E58" s="236">
        <f>Wind!Q40</f>
        <v>9.666666666666666</v>
      </c>
      <c r="F58" s="238">
        <f>Wind!R40</f>
        <v>69.33333333333333</v>
      </c>
      <c r="G58" s="230">
        <f>((58/12)*311*C61+311*C61*(8/12)+311*C62*(50.75/12))/1000</f>
        <v>116.46866444795485</v>
      </c>
      <c r="H58" s="230">
        <f t="shared" si="0"/>
        <v>8075.160735058203</v>
      </c>
    </row>
    <row r="59" spans="2:8" ht="12.75">
      <c r="B59" s="95">
        <v>50</v>
      </c>
      <c r="C59" s="221">
        <f>Wind!U11</f>
        <v>37.120178697687365</v>
      </c>
      <c r="D59" s="235">
        <v>6</v>
      </c>
      <c r="E59" s="236">
        <f>Wind!Q39</f>
        <v>9.791666666666666</v>
      </c>
      <c r="F59" s="237">
        <f>Wind!R39</f>
        <v>79.125</v>
      </c>
      <c r="G59" s="230">
        <f>((58.75/12)*311*C62+C62*311*(0.875)+311*C63*(50.75/12))/1000</f>
        <v>121.2575134107285</v>
      </c>
      <c r="H59" s="230">
        <f t="shared" si="0"/>
        <v>9594.500748623894</v>
      </c>
    </row>
    <row r="60" spans="2:8" ht="12.75">
      <c r="B60" s="95">
        <v>60</v>
      </c>
      <c r="C60" s="221">
        <f>Wind!U12</f>
        <v>37.683720991776035</v>
      </c>
      <c r="D60" s="235">
        <v>7</v>
      </c>
      <c r="E60" s="236">
        <f>Wind!Q38</f>
        <v>10.208333333333334</v>
      </c>
      <c r="F60" s="238">
        <f>Wind!R38</f>
        <v>89.33333333333333</v>
      </c>
      <c r="G60" s="230">
        <f>((61.25/12)*311*C63+311*C63*(8/12)+311*C64*(50/12))/1000</f>
        <v>121.61859577586216</v>
      </c>
      <c r="H60" s="230">
        <f t="shared" si="0"/>
        <v>10864.594555977019</v>
      </c>
    </row>
    <row r="61" spans="2:8" ht="12.75">
      <c r="B61" s="95">
        <v>70</v>
      </c>
      <c r="C61" s="221">
        <f>Wind!U13</f>
        <v>38.247263285864705</v>
      </c>
      <c r="D61" s="235">
        <v>8</v>
      </c>
      <c r="E61" s="236">
        <f>Wind!Q37</f>
        <v>9.666666666666666</v>
      </c>
      <c r="F61" s="238">
        <f>Wind!R37</f>
        <v>98.99999999999999</v>
      </c>
      <c r="G61" s="230">
        <f>(((58/12)*311*C64)+(311*C64*(1))+(311*C65*(46/12)))/1000</f>
        <v>119.63575891069736</v>
      </c>
      <c r="H61" s="230">
        <f t="shared" si="0"/>
        <v>11843.940132159038</v>
      </c>
    </row>
    <row r="62" spans="2:8" ht="12.75">
      <c r="B62" s="95">
        <v>80</v>
      </c>
      <c r="C62" s="221">
        <f>Wind!U14</f>
        <v>38.810805579953396</v>
      </c>
      <c r="D62" s="235">
        <v>9</v>
      </c>
      <c r="E62" s="236">
        <f>Wind!Q36</f>
        <v>9.666666666666666</v>
      </c>
      <c r="F62" s="237">
        <f>Wind!R36</f>
        <v>108.66666666666666</v>
      </c>
      <c r="G62" s="230">
        <f>((116/12)*311*C65)/1000</f>
        <v>120.91370846718803</v>
      </c>
      <c r="H62" s="230">
        <f t="shared" si="0"/>
        <v>13139.28965343443</v>
      </c>
    </row>
    <row r="63" spans="2:8" ht="12.75">
      <c r="B63" s="95">
        <v>90</v>
      </c>
      <c r="C63" s="221">
        <f>Wind!U15</f>
        <v>39.2334623005199</v>
      </c>
      <c r="D63" s="235">
        <v>10</v>
      </c>
      <c r="E63" s="236">
        <f>Wind!Q35</f>
        <v>9.666666666666666</v>
      </c>
      <c r="F63" s="238">
        <f>Wind!R35</f>
        <v>118.33333333333333</v>
      </c>
      <c r="G63" s="230">
        <f>(((58/12)*311*C65)+(C65*311*(20/12))+(311*C66*(38/12)))/1000</f>
        <v>121.60745251214011</v>
      </c>
      <c r="H63" s="230">
        <f t="shared" si="0"/>
        <v>14390.215213936579</v>
      </c>
    </row>
    <row r="64" spans="2:8" ht="12.75">
      <c r="B64" s="95">
        <v>100</v>
      </c>
      <c r="C64" s="221">
        <f>Wind!U16</f>
        <v>39.51523344756424</v>
      </c>
      <c r="D64" s="235">
        <v>11</v>
      </c>
      <c r="E64" s="236">
        <f>Wind!Q34</f>
        <v>9.666666666666666</v>
      </c>
      <c r="F64" s="238">
        <f>Wind!R34</f>
        <v>128</v>
      </c>
      <c r="G64" s="230">
        <f>((116/12)*311*C66)/1000</f>
        <v>123.03145344651543</v>
      </c>
      <c r="H64" s="230">
        <f t="shared" si="0"/>
        <v>15748.026041153975</v>
      </c>
    </row>
    <row r="65" spans="2:8" ht="12.75">
      <c r="B65" s="95">
        <v>120</v>
      </c>
      <c r="C65" s="221">
        <f>Wind!U17</f>
        <v>40.21966131517509</v>
      </c>
      <c r="D65" s="235">
        <v>12</v>
      </c>
      <c r="E65" s="236">
        <f>Wind!Q33</f>
        <v>9.666666666666666</v>
      </c>
      <c r="F65" s="238">
        <f>Wind!R33</f>
        <v>137.66666666666669</v>
      </c>
      <c r="G65" s="230">
        <f>(((58/12)*311*C66)+(311*C66*(28/12))+(311*C67*(30/12)))/1000</f>
        <v>123.36006904675591</v>
      </c>
      <c r="H65" s="230">
        <f t="shared" si="0"/>
        <v>16982.56950543673</v>
      </c>
    </row>
    <row r="66" spans="2:8" ht="12.75">
      <c r="B66" s="95">
        <v>140</v>
      </c>
      <c r="C66" s="221">
        <f>Wind!U18</f>
        <v>40.924089182785934</v>
      </c>
      <c r="D66" s="235">
        <v>14</v>
      </c>
      <c r="E66" s="236">
        <f>Wind!Q32</f>
        <v>9.666666666666666</v>
      </c>
      <c r="F66" s="238">
        <f>Wind!R32</f>
        <v>147.33333333333334</v>
      </c>
      <c r="G66" s="230">
        <f>((116/12)*311*C67)/1000</f>
        <v>124.30210043411185</v>
      </c>
      <c r="H66" s="230">
        <f t="shared" si="0"/>
        <v>18313.84279729248</v>
      </c>
    </row>
    <row r="67" spans="2:8" ht="12.75">
      <c r="B67" s="95">
        <v>160</v>
      </c>
      <c r="C67" s="221">
        <f>Wind!U19</f>
        <v>41.346745903352435</v>
      </c>
      <c r="D67" s="235">
        <v>15</v>
      </c>
      <c r="E67" s="236">
        <f>Wind!Q31</f>
        <v>9.666666666666666</v>
      </c>
      <c r="F67" s="238">
        <f>Wind!R31</f>
        <v>157</v>
      </c>
      <c r="G67" s="230">
        <f>((58/12)*311*C67+311*C67*(36/12)+311*C68*(22/12))/1000</f>
        <v>124.62341346545809</v>
      </c>
      <c r="H67" s="230">
        <f t="shared" si="0"/>
        <v>19565.875914076918</v>
      </c>
    </row>
    <row r="68" spans="2:8" ht="12.75">
      <c r="B68" s="95">
        <v>180</v>
      </c>
      <c r="C68" s="221">
        <f>Wind!U20</f>
        <v>41.91028819744112</v>
      </c>
      <c r="D68" s="235">
        <v>16</v>
      </c>
      <c r="E68" s="236">
        <f>Wind!Q30</f>
        <v>11.666666666666666</v>
      </c>
      <c r="F68" s="238">
        <f>Wind!R30</f>
        <v>168.66666666666669</v>
      </c>
      <c r="G68" s="230">
        <f>((118/12)*311*C68)/1000</f>
        <v>128.16864635580788</v>
      </c>
      <c r="H68" s="230">
        <f t="shared" si="0"/>
        <v>21617.77835201293</v>
      </c>
    </row>
    <row r="69" spans="2:8" ht="12.75">
      <c r="B69" s="95">
        <v>200</v>
      </c>
      <c r="C69" s="221">
        <f>Wind!U21</f>
        <v>42.33294491800763</v>
      </c>
      <c r="D69" s="235">
        <v>17</v>
      </c>
      <c r="E69" s="236">
        <f>Wind!Q28</f>
        <v>8</v>
      </c>
      <c r="F69" s="237">
        <f>Wind!R29</f>
        <v>176.66666666666669</v>
      </c>
      <c r="G69" s="230">
        <f>((88/12)*311*C68+(8/12)*311*C69)/1000</f>
        <v>104.36042786196428</v>
      </c>
      <c r="H69" s="230">
        <f>G69*F69</f>
        <v>18437.008922280358</v>
      </c>
    </row>
    <row r="70" spans="2:8" ht="13.5" thickBot="1">
      <c r="B70" s="99"/>
      <c r="C70" s="99"/>
      <c r="D70" s="235">
        <v>18</v>
      </c>
      <c r="E70" s="236">
        <f>Wind!Q29</f>
        <v>8</v>
      </c>
      <c r="F70" s="239">
        <f>Wind!R28</f>
        <v>184.66666666666669</v>
      </c>
      <c r="G70" s="231">
        <f>(4*C69*311)/1000</f>
        <v>52.66218347800149</v>
      </c>
      <c r="H70" s="241">
        <f>G70*F70</f>
        <v>9724.949882270943</v>
      </c>
    </row>
    <row r="71" spans="6:8" ht="13.5" thickBot="1">
      <c r="F71" s="228" t="s">
        <v>178</v>
      </c>
      <c r="G71" s="240">
        <f>SUM(G53:G70)</f>
        <v>2225.7584442530233</v>
      </c>
      <c r="H71" s="242">
        <f>SUM(H53:H70)</f>
        <v>212133.48054003515</v>
      </c>
    </row>
    <row r="72" ht="13.5" thickBot="1"/>
    <row r="73" spans="2:4" ht="13.5" thickBot="1">
      <c r="B73" s="279" t="s">
        <v>169</v>
      </c>
      <c r="C73" s="280"/>
      <c r="D73" s="281"/>
    </row>
    <row r="74" spans="2:8" ht="13.5" thickBot="1">
      <c r="B74" s="220" t="s">
        <v>171</v>
      </c>
      <c r="C74" s="203" t="s">
        <v>172</v>
      </c>
      <c r="D74" s="198" t="s">
        <v>80</v>
      </c>
      <c r="E74" s="198" t="s">
        <v>173</v>
      </c>
      <c r="F74" s="210" t="s">
        <v>170</v>
      </c>
      <c r="G74" s="198" t="s">
        <v>177</v>
      </c>
      <c r="H74" s="198" t="s">
        <v>176</v>
      </c>
    </row>
    <row r="75" spans="2:8" ht="12.75">
      <c r="B75" s="100" t="s">
        <v>3</v>
      </c>
      <c r="C75" s="221">
        <f>Wind!V6</f>
        <v>27.44400846737535</v>
      </c>
      <c r="D75" s="225" t="s">
        <v>174</v>
      </c>
      <c r="E75" s="225"/>
      <c r="F75" s="232">
        <v>0</v>
      </c>
      <c r="G75" s="229">
        <f>(0.5*E76*311*C76)/1000</f>
        <v>68.28069306682987</v>
      </c>
      <c r="H75" s="227">
        <f>G75*F75</f>
        <v>0</v>
      </c>
    </row>
    <row r="76" spans="2:8" ht="12.75">
      <c r="B76" s="100" t="s">
        <v>3</v>
      </c>
      <c r="C76" s="221">
        <f>Wind!V6</f>
        <v>27.44400846737535</v>
      </c>
      <c r="D76" s="233">
        <v>1</v>
      </c>
      <c r="E76" s="221">
        <f>E54</f>
        <v>16</v>
      </c>
      <c r="F76" s="221">
        <f>F54</f>
        <v>16</v>
      </c>
      <c r="G76" s="229">
        <f>(7*311*C76+1*311*C76+4*C77*311+311*5*C78+311*C79*(38/12))/1000</f>
        <v>176.70901544967626</v>
      </c>
      <c r="H76" s="230">
        <f aca="true" t="shared" si="1" ref="H76:H90">G76*F76</f>
        <v>2827.34424719482</v>
      </c>
    </row>
    <row r="77" spans="2:8" ht="12.75">
      <c r="B77" s="95">
        <v>20</v>
      </c>
      <c r="C77" s="221">
        <f>Wind!V7</f>
        <v>28.138295142310003</v>
      </c>
      <c r="D77" s="235">
        <v>2</v>
      </c>
      <c r="E77" s="221">
        <f aca="true" t="shared" si="2" ref="E77:F91">E55</f>
        <v>24.333333333333332</v>
      </c>
      <c r="F77" s="221">
        <f t="shared" si="2"/>
        <v>40.33333333333333</v>
      </c>
      <c r="G77" s="230">
        <f>((22/12)*311*C79+C80*311*10+C81*311*(8/12)+(58/12)*311*C81)/1000</f>
        <v>162.8761865948715</v>
      </c>
      <c r="H77" s="230">
        <f t="shared" si="1"/>
        <v>6569.33952599315</v>
      </c>
    </row>
    <row r="78" spans="2:8" ht="12.75">
      <c r="B78" s="95">
        <v>25</v>
      </c>
      <c r="C78" s="221">
        <f>Wind!V8</f>
        <v>28.693724482257725</v>
      </c>
      <c r="D78" s="235">
        <v>3</v>
      </c>
      <c r="E78" s="221">
        <f t="shared" si="2"/>
        <v>9.666666666666666</v>
      </c>
      <c r="F78" s="221">
        <f t="shared" si="2"/>
        <v>50</v>
      </c>
      <c r="G78" s="230">
        <f>((58/12)*311*C81+(58/12)*311*C82)/1000</f>
        <v>93.35957475922784</v>
      </c>
      <c r="H78" s="230">
        <f t="shared" si="1"/>
        <v>4667.978737961392</v>
      </c>
    </row>
    <row r="79" spans="2:8" ht="12.75">
      <c r="B79" s="95">
        <v>30</v>
      </c>
      <c r="C79" s="221">
        <f>Wind!V9</f>
        <v>29.249153822205447</v>
      </c>
      <c r="D79" s="235">
        <v>4</v>
      </c>
      <c r="E79" s="221">
        <f t="shared" si="2"/>
        <v>9.666666666666666</v>
      </c>
      <c r="F79" s="221">
        <f t="shared" si="2"/>
        <v>59.666666666666664</v>
      </c>
      <c r="G79" s="230">
        <f>((1/3)*311*C82+311*C83*4.5+(58/12)*311*C82)/1000</f>
        <v>94.97180098998274</v>
      </c>
      <c r="H79" s="230">
        <f t="shared" si="1"/>
        <v>5666.6507924023035</v>
      </c>
    </row>
    <row r="80" spans="2:8" ht="12.75">
      <c r="B80" s="95">
        <v>40</v>
      </c>
      <c r="C80" s="221">
        <f>Wind!V10</f>
        <v>30.082297832127026</v>
      </c>
      <c r="D80" s="235">
        <v>5</v>
      </c>
      <c r="E80" s="221">
        <f t="shared" si="2"/>
        <v>9.666666666666666</v>
      </c>
      <c r="F80" s="221">
        <f t="shared" si="2"/>
        <v>69.33333333333333</v>
      </c>
      <c r="G80" s="230">
        <f>((58/12)*311*C83+311*C83*(8/12)+311*C84*(50.75/12))/1000</f>
        <v>97.21463555547939</v>
      </c>
      <c r="H80" s="230">
        <f t="shared" si="1"/>
        <v>6740.21473184657</v>
      </c>
    </row>
    <row r="81" spans="2:8" ht="12.75">
      <c r="B81" s="95">
        <v>50</v>
      </c>
      <c r="C81" s="221">
        <f>Wind!V11</f>
        <v>30.77658450706168</v>
      </c>
      <c r="D81" s="235">
        <v>6</v>
      </c>
      <c r="E81" s="221">
        <f t="shared" si="2"/>
        <v>9.791666666666666</v>
      </c>
      <c r="F81" s="221">
        <f t="shared" si="2"/>
        <v>79.125</v>
      </c>
      <c r="G81" s="230">
        <f>((58.75/12)*311*C84+C84*311*(0.875)+311*C85*(50.75/12))/1000</f>
        <v>101.44523856678218</v>
      </c>
      <c r="H81" s="230">
        <f t="shared" si="1"/>
        <v>8026.85450159664</v>
      </c>
    </row>
    <row r="82" spans="2:8" ht="12.75">
      <c r="B82" s="95">
        <v>60</v>
      </c>
      <c r="C82" s="221">
        <f>Wind!V12</f>
        <v>31.332013847009396</v>
      </c>
      <c r="D82" s="235">
        <v>7</v>
      </c>
      <c r="E82" s="221">
        <f t="shared" si="2"/>
        <v>10.208333333333334</v>
      </c>
      <c r="F82" s="221">
        <f t="shared" si="2"/>
        <v>89.33333333333333</v>
      </c>
      <c r="G82" s="230">
        <f>((61.25/12)*311*C85+311*C85*(8/12)+311*C86*(50/12))/1000</f>
        <v>101.91403896752178</v>
      </c>
      <c r="H82" s="230">
        <f t="shared" si="1"/>
        <v>9104.320814431945</v>
      </c>
    </row>
    <row r="83" spans="2:8" ht="12.75">
      <c r="B83" s="95">
        <v>70</v>
      </c>
      <c r="C83" s="221">
        <f>Wind!V13</f>
        <v>31.887443186957118</v>
      </c>
      <c r="D83" s="235">
        <v>8</v>
      </c>
      <c r="E83" s="221">
        <f t="shared" si="2"/>
        <v>9.666666666666666</v>
      </c>
      <c r="F83" s="221">
        <f t="shared" si="2"/>
        <v>98.99999999999999</v>
      </c>
      <c r="G83" s="230">
        <f>(((58/12)*311*C86)+(311*C86*(1))+(311*C87*(46/12)))/1000</f>
        <v>100.4490517114314</v>
      </c>
      <c r="H83" s="230">
        <f t="shared" si="1"/>
        <v>9944.456119431707</v>
      </c>
    </row>
    <row r="84" spans="2:8" ht="12.75">
      <c r="B84" s="95">
        <v>80</v>
      </c>
      <c r="C84" s="221">
        <f>Wind!V14</f>
        <v>32.44287252690484</v>
      </c>
      <c r="D84" s="235">
        <v>9</v>
      </c>
      <c r="E84" s="221">
        <f t="shared" si="2"/>
        <v>9.666666666666666</v>
      </c>
      <c r="F84" s="221">
        <f t="shared" si="2"/>
        <v>108.66666666666666</v>
      </c>
      <c r="G84" s="230">
        <f>((116/12)*311*C87)/1000</f>
        <v>101.70860345420867</v>
      </c>
      <c r="H84" s="230">
        <f t="shared" si="1"/>
        <v>11052.334908690675</v>
      </c>
    </row>
    <row r="85" spans="2:8" ht="12.75">
      <c r="B85" s="95">
        <v>90</v>
      </c>
      <c r="C85" s="221">
        <f>Wind!V15</f>
        <v>32.859444531865634</v>
      </c>
      <c r="D85" s="235">
        <v>10</v>
      </c>
      <c r="E85" s="221">
        <f t="shared" si="2"/>
        <v>9.666666666666666</v>
      </c>
      <c r="F85" s="221">
        <f t="shared" si="2"/>
        <v>118.33333333333333</v>
      </c>
      <c r="G85" s="230">
        <f>(((58/12)*311*C87)+(C87*311*(20/12))+(311*C88*(38/12)))/1000</f>
        <v>102.39236011457349</v>
      </c>
      <c r="H85" s="230">
        <f t="shared" si="1"/>
        <v>12116.429280224529</v>
      </c>
    </row>
    <row r="86" spans="2:8" ht="12.75">
      <c r="B86" s="95">
        <v>100</v>
      </c>
      <c r="C86" s="221">
        <f>Wind!V16</f>
        <v>33.137159201839495</v>
      </c>
      <c r="D86" s="235">
        <v>11</v>
      </c>
      <c r="E86" s="221">
        <f t="shared" si="2"/>
        <v>9.666666666666666</v>
      </c>
      <c r="F86" s="221">
        <f t="shared" si="2"/>
        <v>128</v>
      </c>
      <c r="G86" s="230">
        <f>((116/12)*311*C88)/1000</f>
        <v>103.79586062795389</v>
      </c>
      <c r="H86" s="230">
        <f t="shared" si="1"/>
        <v>13285.870160378097</v>
      </c>
    </row>
    <row r="87" spans="2:8" ht="12.75">
      <c r="B87" s="95">
        <v>120</v>
      </c>
      <c r="C87" s="221">
        <f>Wind!V17</f>
        <v>33.83144587677415</v>
      </c>
      <c r="D87" s="235">
        <v>12</v>
      </c>
      <c r="E87" s="221">
        <f t="shared" si="2"/>
        <v>9.666666666666666</v>
      </c>
      <c r="F87" s="221">
        <f t="shared" si="2"/>
        <v>137.66666666666669</v>
      </c>
      <c r="G87" s="230">
        <f>(((58/12)*311*C88)+(311*C88*(28/12))+(311*C89*(30/12)))/1000</f>
        <v>104.1197453618109</v>
      </c>
      <c r="H87" s="230">
        <f t="shared" si="1"/>
        <v>14333.818278142637</v>
      </c>
    </row>
    <row r="88" spans="2:8" ht="12.75">
      <c r="B88" s="95">
        <v>140</v>
      </c>
      <c r="C88" s="221">
        <f>Wind!V18</f>
        <v>34.5257325517088</v>
      </c>
      <c r="D88" s="235">
        <v>14</v>
      </c>
      <c r="E88" s="221">
        <f t="shared" si="2"/>
        <v>9.666666666666666</v>
      </c>
      <c r="F88" s="221">
        <f t="shared" si="2"/>
        <v>147.33333333333334</v>
      </c>
      <c r="G88" s="230">
        <f>((116/12)*311*C89)/1000</f>
        <v>105.04821493220098</v>
      </c>
      <c r="H88" s="230">
        <f t="shared" si="1"/>
        <v>15477.10366667761</v>
      </c>
    </row>
    <row r="89" spans="2:8" ht="12.75">
      <c r="B89" s="95">
        <v>160</v>
      </c>
      <c r="C89" s="221">
        <f>Wind!V19</f>
        <v>34.94230455666958</v>
      </c>
      <c r="D89" s="235">
        <v>15</v>
      </c>
      <c r="E89" s="221">
        <f t="shared" si="2"/>
        <v>9.666666666666666</v>
      </c>
      <c r="F89" s="221">
        <f t="shared" si="2"/>
        <v>157</v>
      </c>
      <c r="G89" s="230">
        <f>((58/12)*311*C89+311*C89*(36/12)+311*C90*(22/12))/1000</f>
        <v>105.36490222752784</v>
      </c>
      <c r="H89" s="230">
        <f t="shared" si="1"/>
        <v>16542.28964972187</v>
      </c>
    </row>
    <row r="90" spans="2:8" ht="12.75">
      <c r="B90" s="95">
        <v>180</v>
      </c>
      <c r="C90" s="221">
        <f>Wind!V20</f>
        <v>35.497733896617305</v>
      </c>
      <c r="D90" s="235">
        <v>16</v>
      </c>
      <c r="E90" s="221">
        <f t="shared" si="2"/>
        <v>11.666666666666666</v>
      </c>
      <c r="F90" s="221">
        <f t="shared" si="2"/>
        <v>168.66666666666669</v>
      </c>
      <c r="G90" s="230">
        <f>((118/12)*311*C90)/1000</f>
        <v>108.5579865448385</v>
      </c>
      <c r="H90" s="230">
        <f t="shared" si="1"/>
        <v>18310.113730562764</v>
      </c>
    </row>
    <row r="91" spans="2:8" ht="12.75">
      <c r="B91" s="95">
        <v>200</v>
      </c>
      <c r="C91" s="221">
        <f>Wind!V21</f>
        <v>35.914305901578096</v>
      </c>
      <c r="D91" s="235">
        <v>17</v>
      </c>
      <c r="E91" s="221">
        <f t="shared" si="2"/>
        <v>8</v>
      </c>
      <c r="F91" s="221">
        <f>F69</f>
        <v>176.66666666666669</v>
      </c>
      <c r="G91" s="230">
        <f>((88/12)*311*C90+(8/12)*311*C91)/1000</f>
        <v>88.40473119714571</v>
      </c>
      <c r="H91" s="230">
        <f>G91*F91</f>
        <v>15618.16917816241</v>
      </c>
    </row>
    <row r="92" spans="2:8" ht="13.5" thickBot="1">
      <c r="B92" s="99"/>
      <c r="C92" s="99"/>
      <c r="D92" s="235">
        <v>18</v>
      </c>
      <c r="E92" s="221">
        <f>E70</f>
        <v>8</v>
      </c>
      <c r="F92" s="221">
        <f>F70</f>
        <v>184.66666666666669</v>
      </c>
      <c r="G92" s="231">
        <f>(4*C91*311)/1000</f>
        <v>44.677396541563155</v>
      </c>
      <c r="H92" s="241">
        <f>G92*F92</f>
        <v>8250.42589467533</v>
      </c>
    </row>
    <row r="93" spans="6:8" ht="13.5" thickBot="1">
      <c r="F93" s="228" t="s">
        <v>178</v>
      </c>
      <c r="G93" s="240">
        <f>SUM(G75:G92)</f>
        <v>1861.2900366636263</v>
      </c>
      <c r="H93" s="242">
        <f>SUM(H75:H92)</f>
        <v>178533.71421809445</v>
      </c>
    </row>
  </sheetData>
  <mergeCells count="8">
    <mergeCell ref="B73:D73"/>
    <mergeCell ref="C42:G42"/>
    <mergeCell ref="B51:D51"/>
    <mergeCell ref="B22:C22"/>
    <mergeCell ref="B1:H1"/>
    <mergeCell ref="B7:C7"/>
    <mergeCell ref="B14:G14"/>
    <mergeCell ref="C33:G3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Yanovich</dc:creator>
  <cp:keywords/>
  <dc:description/>
  <cp:lastModifiedBy>Eric Yanovich</cp:lastModifiedBy>
  <dcterms:created xsi:type="dcterms:W3CDTF">2005-09-29T23:27:01Z</dcterms:created>
  <dcterms:modified xsi:type="dcterms:W3CDTF">2005-11-18T02:25:56Z</dcterms:modified>
  <cp:category/>
  <cp:version/>
  <cp:contentType/>
  <cp:contentStatus/>
</cp:coreProperties>
</file>